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A469B651-0871-4267-8976-E64A96B4E75F}" xr6:coauthVersionLast="47" xr6:coauthVersionMax="47" xr10:uidLastSave="{00000000-0000-0000-0000-000000000000}"/>
  <workbookProtection workbookAlgorithmName="SHA-512" workbookHashValue="AVRIkO39ny4AB4tucmY/EtqksNX9FJGSt6A7EGe2F65TtP6oGXOjKfR9FCGfgi4lxzH3O9rF80EbxQNiGPEdTQ==" workbookSaltValue="+gDJzrMxKtnsVqZcIRPn5w==" workbookSpinCount="100000" lockStructure="1"/>
  <bookViews>
    <workbookView xWindow="3120" yWindow="1890" windowWidth="23820" windowHeight="1611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_xlnm.Print_Area" localSheetId="10">'Prepay Matrix'!$A$1:$J$29</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M130" i="21" l="1"/>
  <c r="M128" i="21"/>
  <c r="L128" i="21"/>
  <c r="L130" i="21"/>
  <c r="T13" i="25"/>
  <c r="P31" i="42" l="1" a="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N61" i="38" l="1" a="1"/>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Q41" i="25" l="1" a="1"/>
  <c r="T37" i="25"/>
  <c r="T31" i="25" a="1"/>
  <c r="T27" i="25"/>
  <c r="T21" i="25"/>
  <c r="T20" i="25"/>
  <c r="T18" i="25"/>
  <c r="T16" i="25"/>
  <c r="T15" i="25"/>
  <c r="T12" i="25"/>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O185" i="21" l="1"/>
  <c r="O175" i="21"/>
  <c r="P180" i="21"/>
  <c r="R175" i="21"/>
  <c r="O180" i="21"/>
  <c r="P175" i="21"/>
  <c r="R180" i="21"/>
  <c r="Q180" i="21"/>
  <c r="N82" i="21" a="1"/>
  <c r="T26" i="25" l="1"/>
  <c r="T14" i="25"/>
  <c r="T29" i="25"/>
  <c r="T19" i="25"/>
  <c r="T30" i="25"/>
  <c r="T24" i="25"/>
  <c r="T25" i="25"/>
  <c r="T36" i="25" l="1"/>
  <c r="T40" i="25" s="1"/>
  <c r="S41" i="9" a="1"/>
  <c r="V32" i="9"/>
  <c r="V31" i="9" a="1"/>
  <c r="V27" i="9"/>
  <c r="V22" i="9"/>
  <c r="V21" i="9"/>
  <c r="V18" i="9"/>
  <c r="V16" i="9"/>
  <c r="V15" i="9"/>
  <c r="V13" i="9"/>
  <c r="V12" i="9"/>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5" l="1"/>
  <c r="G85" i="21"/>
  <c r="V36" i="8"/>
  <c r="U35" i="8" s="1"/>
  <c r="T36" i="15"/>
  <c r="T40" i="15" s="1"/>
  <c r="V36" i="9"/>
  <c r="V40" i="9" s="1"/>
  <c r="O187" i="4"/>
  <c r="O186" i="4"/>
  <c r="R182" i="4"/>
  <c r="Q182" i="4"/>
  <c r="P182" i="4"/>
  <c r="R177" i="4"/>
  <c r="P177" i="4"/>
  <c r="O177" i="4"/>
  <c r="R181" i="4"/>
  <c r="Q181" i="4"/>
  <c r="P181" i="4"/>
  <c r="R176" i="4"/>
  <c r="Q176" i="4"/>
  <c r="P176" i="4"/>
  <c r="O176" i="4"/>
  <c r="O181" i="4"/>
  <c r="O182" i="4"/>
  <c r="U47" i="9" l="1"/>
  <c r="G85" i="4"/>
  <c r="V40" i="8"/>
  <c r="O175" i="4"/>
  <c r="T25" i="15" s="1"/>
  <c r="Q180" i="4"/>
  <c r="R180" i="4"/>
  <c r="P180" i="4"/>
  <c r="O185" i="4"/>
  <c r="P175" i="4"/>
  <c r="O180" i="4"/>
  <c r="Q175" i="4"/>
  <c r="R175" i="4"/>
  <c r="T29" i="15" l="1"/>
  <c r="T19" i="15"/>
  <c r="T14" i="15"/>
  <c r="T26" i="15"/>
  <c r="T30" i="15"/>
  <c r="T24" i="15"/>
  <c r="P168" i="4" l="1"/>
  <c r="Q163" i="4"/>
  <c r="Q168" i="4"/>
  <c r="O163" i="4"/>
  <c r="P163" i="4"/>
  <c r="R163" i="4"/>
  <c r="O168" i="4"/>
  <c r="R168" i="4"/>
  <c r="V20" i="8" l="1"/>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M35" i="42" l="1"/>
  <c r="S35" i="9"/>
  <c r="V35" i="8"/>
  <c r="T35" i="15"/>
  <c r="V35" i="9"/>
  <c r="U35" i="9" s="1"/>
  <c r="E147" i="21" l="1"/>
  <c r="B67" i="21"/>
  <c r="E147" i="4"/>
  <c r="I108" i="38"/>
  <c r="I109" i="38" s="1"/>
  <c r="N111" i="38" s="1"/>
  <c r="L113" i="38" s="1"/>
  <c r="K113" i="38" s="1"/>
  <c r="I106" i="38"/>
  <c r="I107" i="38" s="1"/>
  <c r="N109" i="38" s="1"/>
  <c r="T35" i="25"/>
  <c r="S35" i="25" s="1"/>
  <c r="Q35" i="25"/>
  <c r="G82" i="21" l="1"/>
  <c r="G94" i="21"/>
  <c r="T39" i="25"/>
  <c r="T33" i="25"/>
  <c r="S33" i="25" s="1"/>
  <c r="V39" i="8"/>
  <c r="V39" i="9"/>
  <c r="T39" i="15"/>
  <c r="E152" i="21"/>
  <c r="E152" i="4" s="1"/>
  <c r="B65" i="4" l="1" a="1"/>
  <c r="B64" i="4" a="1"/>
  <c r="M87" i="21"/>
  <c r="L84" i="21"/>
  <c r="M86" i="21"/>
  <c r="M123" i="21"/>
  <c r="M116" i="21"/>
  <c r="L85" i="21"/>
  <c r="L111" i="21"/>
  <c r="L117" i="21"/>
  <c r="M117" i="21"/>
  <c r="L105" i="21"/>
  <c r="M83" i="21"/>
  <c r="M93" i="21"/>
  <c r="L119" i="21"/>
  <c r="L123" i="21"/>
  <c r="L118" i="21"/>
  <c r="L101" i="21"/>
  <c r="M98" i="21"/>
  <c r="L86" i="21"/>
  <c r="M105" i="21"/>
  <c r="M111" i="21"/>
  <c r="L100" i="21"/>
  <c r="M92" i="21"/>
  <c r="M97" i="21"/>
  <c r="L102" i="21"/>
  <c r="L116" i="21"/>
  <c r="L113" i="21"/>
  <c r="M82" i="21"/>
  <c r="M108" i="21"/>
  <c r="L115" i="21"/>
  <c r="M107" i="21"/>
  <c r="M121" i="21"/>
  <c r="L122" i="21"/>
  <c r="L87" i="21"/>
  <c r="L94" i="21"/>
  <c r="M106" i="21"/>
  <c r="L97" i="21"/>
  <c r="L110" i="21"/>
  <c r="L120" i="21"/>
  <c r="L107" i="21"/>
  <c r="L93" i="21"/>
  <c r="L109" i="21"/>
  <c r="L82" i="21"/>
  <c r="L90" i="21"/>
  <c r="M90" i="21"/>
  <c r="M89" i="21"/>
  <c r="L108" i="21"/>
  <c r="L103" i="21"/>
  <c r="M114" i="21"/>
  <c r="L104" i="21"/>
  <c r="L95" i="21"/>
  <c r="L124" i="21"/>
  <c r="M99" i="21"/>
  <c r="M101" i="21"/>
  <c r="L114" i="21"/>
  <c r="L106" i="21"/>
  <c r="L88" i="21"/>
  <c r="L83" i="21"/>
  <c r="M94" i="21"/>
  <c r="M84" i="21"/>
  <c r="M102" i="21"/>
  <c r="L121" i="21"/>
  <c r="L91" i="21"/>
  <c r="L98" i="21"/>
  <c r="M115" i="21"/>
  <c r="L96" i="21"/>
  <c r="M112" i="21"/>
  <c r="M104" i="21"/>
  <c r="L89" i="21"/>
  <c r="M88" i="21"/>
  <c r="M103" i="21"/>
  <c r="M110" i="21"/>
  <c r="M118" i="21"/>
  <c r="M91" i="21"/>
  <c r="M113" i="21"/>
  <c r="L99" i="21"/>
  <c r="M120" i="21"/>
  <c r="M95" i="21"/>
  <c r="M122" i="21"/>
  <c r="M109" i="21"/>
  <c r="L112" i="21"/>
  <c r="M124" i="21"/>
  <c r="M100" i="21"/>
  <c r="M119" i="21"/>
  <c r="L92" i="21"/>
  <c r="M85" i="21"/>
  <c r="M96" i="21"/>
  <c r="B67" i="4" l="1"/>
  <c r="G82" i="4" s="1"/>
  <c r="M126" i="21" a="1"/>
  <c r="L126" i="21" a="1"/>
  <c r="L129" i="21" l="1"/>
  <c r="L127" i="21"/>
  <c r="M129" i="21"/>
  <c r="M127" i="21"/>
  <c r="G94" i="4"/>
  <c r="T33" i="15"/>
  <c r="V33" i="8"/>
  <c r="U33" i="8" s="1"/>
  <c r="V33" i="9"/>
  <c r="U33" i="9" s="1"/>
  <c r="N130" i="21" l="1"/>
  <c r="N132" i="21"/>
  <c r="L134" i="21" s="1"/>
  <c r="K134" i="21" s="1"/>
  <c r="T38" i="25" l="1"/>
  <c r="K96" i="4"/>
  <c r="K88" i="4"/>
  <c r="J96" i="4"/>
  <c r="K103" i="4"/>
  <c r="J121" i="4"/>
  <c r="J105" i="4"/>
  <c r="K118" i="4"/>
  <c r="J111" i="4"/>
  <c r="J86" i="4"/>
  <c r="J100" i="4"/>
  <c r="J123" i="4"/>
  <c r="K124" i="4"/>
  <c r="J85" i="4"/>
  <c r="K83" i="4"/>
  <c r="J118" i="4"/>
  <c r="K82" i="4"/>
  <c r="K119" i="4"/>
  <c r="J98" i="4"/>
  <c r="K92" i="4"/>
  <c r="K98" i="4"/>
  <c r="K89" i="4"/>
  <c r="J87" i="4"/>
  <c r="J106" i="4"/>
  <c r="J104" i="4"/>
  <c r="K115" i="4"/>
  <c r="K93" i="4"/>
  <c r="J119" i="4"/>
  <c r="K84" i="4"/>
  <c r="J101" i="4"/>
  <c r="K85" i="4"/>
  <c r="J95" i="4"/>
  <c r="J110" i="4"/>
  <c r="K111" i="4"/>
  <c r="K123" i="4"/>
  <c r="J109" i="4"/>
  <c r="J90" i="4"/>
  <c r="J93" i="4"/>
  <c r="K100" i="4"/>
  <c r="K108" i="4"/>
  <c r="K114" i="4"/>
  <c r="J113" i="4"/>
  <c r="K101" i="4"/>
  <c r="K99" i="4"/>
  <c r="J107" i="4"/>
  <c r="J102" i="4"/>
  <c r="J115" i="4"/>
  <c r="J84" i="4"/>
  <c r="J92" i="4"/>
  <c r="K106" i="4"/>
  <c r="K122" i="4"/>
  <c r="K107" i="4"/>
  <c r="K109" i="4"/>
  <c r="J112" i="4"/>
  <c r="K121" i="4"/>
  <c r="K104" i="4"/>
  <c r="J124" i="4"/>
  <c r="J91" i="4"/>
  <c r="K116" i="4"/>
  <c r="K102" i="4"/>
  <c r="J117" i="4"/>
  <c r="K117" i="4"/>
  <c r="J97" i="4"/>
  <c r="K86" i="4"/>
  <c r="K94" i="4"/>
  <c r="K105" i="4"/>
  <c r="J94" i="4"/>
  <c r="J89" i="4"/>
  <c r="K87" i="4"/>
  <c r="J83" i="4"/>
  <c r="J82" i="4"/>
  <c r="K110" i="4"/>
  <c r="J116" i="4"/>
  <c r="K97" i="4"/>
  <c r="J120" i="4"/>
  <c r="J103" i="4"/>
  <c r="J122" i="4"/>
  <c r="K120" i="4"/>
  <c r="J114" i="4"/>
  <c r="J99" i="4"/>
  <c r="J88" i="4"/>
  <c r="J108" i="4"/>
  <c r="K90" i="4"/>
  <c r="K95" i="4"/>
  <c r="K113" i="4"/>
  <c r="K112" i="4"/>
  <c r="K91" i="4"/>
  <c r="J126" i="4" l="1" a="1"/>
  <c r="K126" i="4" a="1"/>
  <c r="K129" i="4" l="1"/>
  <c r="K130" i="4" s="1"/>
  <c r="K127" i="4"/>
  <c r="K128" i="4" s="1"/>
  <c r="J129" i="4"/>
  <c r="J130" i="4" s="1"/>
  <c r="J127" i="4"/>
  <c r="J128" i="4" s="1"/>
  <c r="N130" i="4" s="1"/>
  <c r="N132" i="4" l="1"/>
  <c r="L134" i="4" s="1"/>
  <c r="K134" i="4"/>
  <c r="V38" i="8" l="1"/>
  <c r="V38" i="9"/>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<sst xmlns="http://schemas.openxmlformats.org/spreadsheetml/2006/main" count="3617" uniqueCount="958">
  <si>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</si>
  <si>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</si>
  <si>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</si>
  <si>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</si>
  <si>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</si>
  <si>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</si>
  <si>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</si>
  <si>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</si>
  <si>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</si>
  <si>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</si>
  <si>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</si>
  <si>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</si>
  <si>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</si>
  <si>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</si>
  <si>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</si>
  <si>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</si>
  <si>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</si>
  <si>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</si>
  <si>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</si>
  <si>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</si>
  <si>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</si>
  <si>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</si>
  <si>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</si>
  <si>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</si>
  <si>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</si>
  <si>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</si>
  <si>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</si>
  <si>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</si>
  <si>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</si>
  <si>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</si>
  <si>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</si>
  <si>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</si>
  <si>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</si>
  <si>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</si>
  <si>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</si>
  <si>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</si>
  <si>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</si>
  <si>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</si>
  <si>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</si>
  <si>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</si>
  <si>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</si>
  <si>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</si>
  <si>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</si>
  <si>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</si>
  <si>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</si>
  <si>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</si>
  <si>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</si>
  <si>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</si>
  <si>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</si>
  <si>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</si>
  <si>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</si>
  <si>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</si>
  <si>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</si>
  <si>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</si>
  <si>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</si>
  <si>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</si>
  <si>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</si>
  <si>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</si>
  <si>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</si>
  <si>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</si>
  <si>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</si>
  <si>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</si>
  <si>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</si>
  <si>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</si>
  <si>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</si>
  <si>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</si>
  <si>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</si>
  <si>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</si>
  <si>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</si>
  <si>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</si>
  <si>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</si>
  <si>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</si>
  <si>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</si>
  <si>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</si>
  <si>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</si>
  <si>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</si>
  <si>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</si>
  <si>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</si>
  <si>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</si>
  <si>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</si>
  <si>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</si>
  <si>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</si>
  <si>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</si>
  <si>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</si>
  <si>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</si>
  <si>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</si>
  <si>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</si>
  <si>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</si>
  <si>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</si>
  <si>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</si>
  <si>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</si>
  <si>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</si>
  <si>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</si>
  <si>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</si>
  <si>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</si>
  <si>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</si>
  <si>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</si>
  <si>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</si>
  <si>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</si>
  <si>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</si>
  <si>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</si>
  <si>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</si>
  <si>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</si>
  <si>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</si>
  <si>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</si>
  <si>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</si>
  <si>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</si>
  <si>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</si>
  <si>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</si>
  <si>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</si>
  <si>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</si>
  <si>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</si>
  <si>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</si>
  <si>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</si>
  <si>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</si>
  <si>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</si>
  <si>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</si>
  <si>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</si>
  <si>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</si>
  <si>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</si>
  <si>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</si>
  <si>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</si>
  <si>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</si>
  <si>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</si>
  <si>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</si>
  <si>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</si>
  <si>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</si>
  <si>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</si>
  <si>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</si>
  <si>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</si>
  <si>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</si>
  <si>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</si>
  <si>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</si>
  <si>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</si>
  <si>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</si>
  <si>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</si>
  <si>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</si>
  <si>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</si>
  <si>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</si>
  <si>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</si>
  <si>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</si>
  <si>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</si>
  <si>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</si>
  <si>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</si>
  <si>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</si>
  <si>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</si>
  <si>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</si>
  <si>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</si>
  <si>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</si>
  <si>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</si>
  <si>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</si>
  <si>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</si>
  <si>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</si>
  <si>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</si>
  <si>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</si>
  <si>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</si>
  <si>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</si>
  <si>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</si>
  <si>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</si>
  <si>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</si>
  <si>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</si>
  <si>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</si>
  <si>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</si>
  <si>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</si>
  <si>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</si>
  <si>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</si>
  <si>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</si>
  <si>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</si>
  <si>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</si>
  <si>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</si>
  <si>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</si>
  <si>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</si>
  <si>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</si>
  <si>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</si>
  <si>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</si>
  <si>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</si>
  <si>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</si>
  <si>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</si>
  <si>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</si>
  <si>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</si>
  <si>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</si>
  <si>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</si>
  <si>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</si>
  <si>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</si>
  <si>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</si>
  <si>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</si>
  <si>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</si>
  <si>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</si>
  <si>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</si>
  <si>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</si>
  <si>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</si>
  <si>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</si>
  <si>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</si>
  <si>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</si>
  <si>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</si>
  <si>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</si>
  <si>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</si>
  <si>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</si>
  <si>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</si>
  <si>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</si>
  <si>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</si>
  <si>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</si>
  <si>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</si>
  <si>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</si>
  <si>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</si>
  <si>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</si>
  <si>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</si>
  <si>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</si>
  <si>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</si>
  <si>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</si>
  <si>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</si>
  <si>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</si>
  <si>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</si>
  <si>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</si>
  <si>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</si>
  <si>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</si>
  <si>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</si>
  <si>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</si>
  <si>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</si>
  <si>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</si>
  <si>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</si>
  <si>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</si>
  <si>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</si>
  <si>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</si>
  <si>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</si>
  <si>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</si>
  <si>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</si>
  <si>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</si>
  <si>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</si>
  <si>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</si>
  <si>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</si>
  <si>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</si>
  <si>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</si>
  <si>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</si>
  <si>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</si>
  <si>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</si>
  <si>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</si>
  <si>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</si>
  <si>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</si>
  <si>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</si>
  <si>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</si>
  <si>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</si>
  <si>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</si>
  <si>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</si>
  <si>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</si>
  <si>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</si>
  <si>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</si>
  <si>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</si>
  <si>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</si>
  <si>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</si>
  <si>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</si>
  <si>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</si>
  <si>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</si>
  <si>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</si>
  <si>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</si>
  <si>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</si>
  <si>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</si>
  <si>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</si>
  <si>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</si>
  <si>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</si>
  <si>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</si>
  <si>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</si>
  <si>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</si>
  <si>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</si>
  <si>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</si>
  <si>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</si>
  <si>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</si>
  <si>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</si>
  <si>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</si>
  <si>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</si>
  <si>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</si>
  <si>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</si>
  <si>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</si>
  <si>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</si>
  <si>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</si>
  <si>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</si>
  <si>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</si>
  <si>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</si>
  <si>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</si>
  <si>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</si>
  <si>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</si>
  <si>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</si>
  <si>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</si>
  <si>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</si>
  <si>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</si>
  <si>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</si>
  <si>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</si>
  <si>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</si>
  <si>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</si>
  <si>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</si>
  <si>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</si>
  <si>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</si>
  <si>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</si>
  <si>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</si>
  <si>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</si>
  <si>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</si>
  <si>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</si>
  <si>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</si>
  <si>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</si>
  <si>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</si>
  <si>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</si>
  <si>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</si>
  <si>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</si>
  <si>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</si>
  <si>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</si>
  <si>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</si>
  <si>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</si>
  <si>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</si>
  <si>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</si>
  <si>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</si>
  <si>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</si>
  <si>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</si>
  <si>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</si>
  <si>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</si>
  <si>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</si>
  <si>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</si>
  <si>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</si>
  <si>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</si>
  <si>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</si>
  <si>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</si>
  <si>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</si>
  <si>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</si>
  <si>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</si>
  <si>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</si>
  <si>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</si>
  <si>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</si>
  <si>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</si>
  <si>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</si>
  <si>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</si>
  <si>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</si>
  <si>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</si>
  <si>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</si>
  <si>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</si>
  <si>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</si>
  <si>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</si>
  <si>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</si>
  <si>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</si>
  <si>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</si>
  <si>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</si>
  <si>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</si>
  <si>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</si>
  <si>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</si>
  <si>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</si>
  <si>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</si>
  <si>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</si>
  <si>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</si>
  <si>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</si>
  <si>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</si>
  <si>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</si>
  <si>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</si>
  <si>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</si>
  <si>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</si>
  <si>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</si>
  <si>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</si>
  <si>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</si>
  <si>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</si>
  <si>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</si>
  <si>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</si>
  <si>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</si>
  <si>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</si>
  <si>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</si>
  <si>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</si>
  <si>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</si>
  <si>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</si>
  <si>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</si>
  <si>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</si>
  <si>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</si>
  <si>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</si>
  <si>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</si>
  <si>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</si>
  <si>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</si>
  <si>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</si>
  <si>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</si>
  <si>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</si>
  <si>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</si>
  <si>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</si>
  <si>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</si>
  <si>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</si>
  <si>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</si>
  <si>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</si>
  <si>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</si>
  <si>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</si>
  <si>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</si>
  <si>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</si>
  <si>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</si>
  <si>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</si>
  <si>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</si>
  <si>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</si>
  <si>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</si>
  <si>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</si>
  <si>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</si>
  <si>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</si>
  <si>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</si>
  <si>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</si>
  <si>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</si>
  <si>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</si>
  <si>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</si>
  <si>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</si>
  <si>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</si>
  <si>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</si>
  <si>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</si>
  <si>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</si>
  <si>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</si>
  <si>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</si>
  <si>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</si>
  <si>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</si>
  <si>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</si>
  <si>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</si>
  <si>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</si>
  <si>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</si>
  <si>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</si>
  <si>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</si>
  <si>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</si>
  <si>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</si>
  <si>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</si>
  <si>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</si>
  <si>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</si>
  <si>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</si>
  <si>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</si>
  <si>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</si>
  <si>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</si>
  <si>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</si>
  <si>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</si>
  <si>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</si>
  <si>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</si>
  <si>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</si>
  <si>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</si>
  <si>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</si>
  <si>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</si>
  <si>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</si>
  <si>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</si>
  <si>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</si>
  <si>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</si>
  <si>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</si>
  <si>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</si>
  <si>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</si>
  <si>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</si>
  <si>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</si>
  <si>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</si>
  <si>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</si>
  <si>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</si>
  <si>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</si>
  <si>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</si>
  <si>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</si>
  <si>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</si>
  <si>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</si>
  <si>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</si>
  <si>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</si>
  <si>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</si>
  <si>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</si>
  <si>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</si>
  <si>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</si>
  <si>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</si>
  <si>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</si>
  <si>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</si>
  <si>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</si>
  <si>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</si>
  <si>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</si>
  <si>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</si>
  <si>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</si>
  <si>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</si>
  <si>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</si>
  <si>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</si>
  <si>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</si>
  <si>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</si>
  <si>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</si>
  <si>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</si>
  <si>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</si>
  <si>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</si>
  <si>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</si>
  <si>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</si>
  <si>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</si>
  <si>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</si>
  <si>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</si>
  <si>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</si>
  <si>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</si>
  <si>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</si>
  <si>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</si>
  <si>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</si>
  <si>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</si>
  <si>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</si>
  <si>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</si>
  <si>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</si>
  <si>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</si>
  <si>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</si>
  <si>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</si>
  <si>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</si>
  <si>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</si>
  <si>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</si>
  <si>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</si>
  <si>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</si>
  <si>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</si>
  <si>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</si>
  <si>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</si>
  <si>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</si>
  <si>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</si>
  <si>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</si>
  <si>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</si>
  <si>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</si>
  <si>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</si>
  <si>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</si>
  <si>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</si>
  <si>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</si>
  <si>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</si>
  <si>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</si>
  <si>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</si>
  <si>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</si>
  <si>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</si>
  <si>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</si>
  <si>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</si>
  <si>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</si>
  <si>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</si>
  <si>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</si>
  <si>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</si>
  <si>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</si>
  <si>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</si>
  <si>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</si>
  <si>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</si>
  <si>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</si>
  <si>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</si>
  <si>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</si>
  <si>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</si>
  <si>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</si>
  <si>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</si>
  <si>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</si>
  <si>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</si>
  <si>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</si>
  <si>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</si>
  <si>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</si>
  <si>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</si>
  <si>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</si>
  <si>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</si>
  <si>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</si>
  <si>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</si>
  <si>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</si>
  <si>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</si>
  <si>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</si>
  <si>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</si>
  <si>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</si>
  <si>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</si>
  <si>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</si>
  <si>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</si>
  <si>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</si>
  <si>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</si>
  <si>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</si>
  <si>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</si>
  <si>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</si>
  <si>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</si>
  <si>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</si>
  <si>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</si>
  <si>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</si>
  <si>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</si>
  <si>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</si>
  <si>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</si>
  <si>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</si>
  <si>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</si>
  <si>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</si>
  <si>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</si>
  <si>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</si>
  <si>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</si>
  <si>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</si>
  <si>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</si>
  <si>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</si>
  <si>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</si>
  <si>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</si>
  <si>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</si>
  <si>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</si>
  <si>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</si>
  <si>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</si>
  <si>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</si>
  <si>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</si>
  <si>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</si>
  <si>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</si>
  <si>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</si>
  <si>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</si>
  <si>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</si>
  <si>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</si>
  <si>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</si>
  <si>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</si>
  <si>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</si>
  <si>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</si>
  <si>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</si>
  <si>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</si>
  <si>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</si>
  <si>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</si>
  <si>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</si>
  <si>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</si>
  <si>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</si>
  <si>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</si>
  <si>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</si>
  <si>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</si>
  <si>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</si>
  <si>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</si>
  <si>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</si>
  <si>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</si>
  <si>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</si>
  <si>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</si>
  <si>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</si>
  <si>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</si>
  <si>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</si>
  <si>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</si>
  <si>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</si>
  <si>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</si>
  <si>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</si>
  <si>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</si>
  <si>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</si>
  <si>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</si>
  <si>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</si>
  <si>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</si>
  <si>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</si>
  <si>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</si>
  <si>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</si>
  <si>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</si>
  <si>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</si>
  <si>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</si>
  <si>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</si>
  <si>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</si>
  <si>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</si>
  <si>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</si>
  <si>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</si>
  <si>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</si>
  <si>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</si>
  <si>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</si>
  <si>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</si>
  <si>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</si>
  <si>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</si>
  <si>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</si>
  <si>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</si>
  <si>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</si>
  <si>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</si>
  <si>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</si>
  <si>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</si>
  <si>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</si>
  <si>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</si>
  <si>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</si>
  <si>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</si>
  <si>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</si>
  <si>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</si>
  <si>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</si>
  <si>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</si>
  <si>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</si>
  <si>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</si>
  <si>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</si>
  <si>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</si>
  <si>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</si>
  <si>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</si>
  <si>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</si>
  <si>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</si>
  <si>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</si>
  <si>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</si>
  <si>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</si>
  <si>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</si>
  <si>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</si>
  <si>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</si>
  <si>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</si>
  <si>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</si>
  <si>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</si>
  <si>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</si>
  <si>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</si>
  <si>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</si>
  <si>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</si>
  <si>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</si>
  <si>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</si>
  <si>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</si>
  <si>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</si>
  <si>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</si>
  <si>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</si>
  <si>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</si>
  <si>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</si>
  <si>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</si>
  <si>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</si>
  <si>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</si>
  <si>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</si>
  <si>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</si>
  <si>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</si>
  <si>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</si>
  <si>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</si>
  <si>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</si>
  <si>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</si>
  <si>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</si>
  <si>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</si>
  <si>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</si>
  <si>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</si>
  <si>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</si>
  <si>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</si>
  <si>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</si>
  <si>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</si>
  <si>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</si>
  <si>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</si>
  <si>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</si>
  <si>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</si>
  <si>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</si>
  <si>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</si>
  <si>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</si>
  <si>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</si>
  <si>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</si>
  <si>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</si>
  <si>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</si>
  <si>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</si>
  <si>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</si>
  <si>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</si>
  <si>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</si>
  <si>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</si>
  <si>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</si>
  <si>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</si>
  <si>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</si>
  <si>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</si>
  <si>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</si>
  <si>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</si>
  <si>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</si>
  <si>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</si>
  <si>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</si>
  <si>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</si>
  <si>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</si>
  <si>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</si>
  <si>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</si>
  <si>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</si>
  <si>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</si>
  <si>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</si>
  <si>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</si>
  <si>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</si>
  <si>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</si>
  <si>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</si>
  <si>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</si>
  <si>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</si>
  <si>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</si>
  <si>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</si>
  <si>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</si>
  <si>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</si>
  <si>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</si>
  <si>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</si>
  <si>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</si>
  <si>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</si>
  <si>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</si>
  <si>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</si>
  <si>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</si>
  <si>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</si>
  <si>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</si>
  <si>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</si>
  <si>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</si>
  <si>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</si>
  <si>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</si>
  <si>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</si>
  <si>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</si>
  <si>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</si>
  <si>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</si>
  <si>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</si>
  <si>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</si>
  <si>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</si>
  <si>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</si>
  <si>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</si>
  <si>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</si>
  <si>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</si>
  <si>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</si>
  <si>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</si>
  <si>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</si>
  <si>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</si>
  <si>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</si>
  <si>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</si>
  <si>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</si>
  <si>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</si>
  <si>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</si>
  <si>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</si>
  <si>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</si>
  <si>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</si>
  <si>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</si>
  <si>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</si>
  <si>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</si>
  <si>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</si>
  <si>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</si>
  <si>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</si>
  <si>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</si>
  <si>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</si>
  <si>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</si>
  <si>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</si>
  <si>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</si>
  <si>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</si>
  <si>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</si>
  <si>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</si>
  <si>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</si>
  <si>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</si>
  <si>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</si>
  <si>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</si>
  <si>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</si>
  <si>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</si>
  <si>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</si>
  <si>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</si>
  <si>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</si>
  <si>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</si>
  <si>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</si>
  <si>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</si>
  <si>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</si>
  <si>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</si>
  <si>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</si>
  <si>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</si>
  <si>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</si>
  <si>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</si>
  <si>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</si>
  <si>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</si>
  <si>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</si>
  <si>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</si>
  <si>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</si>
  <si>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</si>
  <si>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</si>
  <si>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</si>
  <si>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</si>
  <si>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</si>
  <si>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</si>
  <si>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</si>
  <si>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</si>
  <si>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</si>
  <si>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</si>
  <si>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</si>
  <si>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</si>
  <si>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</si>
  <si>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</si>
  <si>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</si>
  <si>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</si>
  <si>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</si>
  <si>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</si>
  <si>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</si>
  <si>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</si>
  <si>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</si>
  <si>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</si>
  <si>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</si>
  <si>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</si>
  <si>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</si>
  <si>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</si>
  <si>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</si>
  <si>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</si>
  <si>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</si>
  <si>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</si>
  <si>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</si>
  <si>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</si>
  <si>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</si>
  <si>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</si>
  <si>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</si>
  <si>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</si>
  <si>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</si>
  <si>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</si>
  <si>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</si>
  <si>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</si>
  <si>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</si>
  <si>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</si>
  <si>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</si>
  <si>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</si>
  <si>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</si>
  <si>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</si>
  <si>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</si>
  <si>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</si>
  <si>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</si>
  <si>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</si>
  <si>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</si>
  <si>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</si>
  <si>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</si>
  <si>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</si>
  <si>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</si>
  <si>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</si>
  <si>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</si>
  <si>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</si>
  <si>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</si>
  <si>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</si>
  <si>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</si>
  <si>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</si>
  <si>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</si>
  <si>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</si>
  <si>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</si>
  <si>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</si>
  <si>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</si>
  <si>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</si>
  <si>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</si>
  <si>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</si>
  <si>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</si>
  <si>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</si>
  <si>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</si>
  <si>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</si>
  <si>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</si>
  <si>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</si>
  <si>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</si>
  <si>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</si>
  <si>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</si>
  <si>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</si>
  <si>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</si>
  <si>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</si>
  <si>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</si>
  <si>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</si>
  <si>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</si>
  <si>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</si>
  <si>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</si>
  <si>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</si>
  <si>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</si>
  <si>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</si>
  <si>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</si>
  <si>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</si>
  <si>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</si>
  <si>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</si>
  <si>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</si>
  <si>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</si>
  <si>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</si>
  <si>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</si>
  <si>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</si>
  <si>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</si>
  <si>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</si>
  <si>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</si>
  <si>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</si>
  <si>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</si>
  <si>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</si>
  <si>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</si>
  <si>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</si>
  <si>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</si>
  <si>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</si>
  <si>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</si>
  <si>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</si>
  <si>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</si>
  <si>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</si>
  <si>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</si>
  <si>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Normal Rates</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</si>
  <si>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</si>
  <si>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</si>
  <si>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</si>
  <si>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</si>
  <si>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</si>
  <si>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</si>
  <si>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</si>
  <si>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</si>
  <si>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</si>
  <si>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</si>
  <si>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</si>
  <si>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</si>
  <si>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</si>
  <si>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</si>
  <si>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</si>
  <si>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</si>
  <si>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</si>
  <si>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</si>
  <si>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25 bps 30 yr ARM
50 bps 40 yr FRM
25 bps All 3+ Yr PPP</t>
  </si>
  <si>
    <t>Special</t>
  </si>
  <si>
    <r>
      <t xml:space="preserve">October Specials
</t>
    </r>
    <r>
      <rPr>
        <b/>
        <i/>
        <sz val="10"/>
        <color theme="0"/>
        <rFont val="Aptos Narrow"/>
        <family val="2"/>
      </rPr>
      <t>Specials cannot be combined</t>
    </r>
  </si>
  <si>
    <t>30 Yr ARM NonQM Loans (Incl DSCR 5-8)</t>
  </si>
  <si>
    <t>50 Bps</t>
  </si>
  <si>
    <t>40 Yr Fixed Rate NonQM Loans (Incl DSCR 5-8)</t>
  </si>
  <si>
    <t>All 3 Yr+ Prepayment Penalties (Incl DSCR 5-8)</t>
  </si>
  <si>
    <t>Extensions/Concessions</t>
  </si>
  <si>
    <t>Exceptions</t>
  </si>
  <si>
    <t>Extensions/Concession</t>
  </si>
  <si>
    <t>All of IL, If closed in the name of an individual and results in an APR &lt;8%, or is Business Purpose Loan closed in a Corp or  LLC;  If  Cook  County,  loan
must also be &gt; $250,000</t>
  </si>
  <si>
    <t>If  closed  in  the  name  of  an individual and is &gt;8% APR; if in Cook County and the loan is &lt; $250,000</t>
  </si>
  <si>
    <r>
      <t xml:space="preserve">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</si>
  <si>
    <r>
      <t xml:space="preserve">See Below Extension Cost
All Rates @ 2 bps / day Extension Cost
Current lock extension costs/policies apply to all active locks, regardless of lock date
All 45 day locks are at a 25bp cost and are NOT eligible for Lock extensions                                                                                                                                                                                                                                                                                                                                                                                                                                                                                                                                                                                                                                                                                                                                                                                                                                                                                                                                                                                                                                                                                                                                                                                                                                                                                                                                                                                                                                                                                                                                                                                                                                                                                                                                                                                                                                                                                                                                                                                                                                                                                          </t>
    </r>
    <r>
      <rPr>
        <b/>
        <sz val="9"/>
        <rFont val="Aptos Narrow"/>
        <family val="2"/>
        <scheme val="minor"/>
      </rPr>
      <t>The maximum available lock period, including extensions is 45 days</t>
    </r>
  </si>
  <si>
    <r>
      <t xml:space="preserve"> 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</si>
  <si>
    <t>NonQM (RT)'!$U$22, $J$3</t>
  </si>
  <si>
    <t>NonQM (RT)'!$U$22, $J$3:$J$7</t>
  </si>
  <si>
    <t>NonQM (RT)'!$U$22, $J$6:$J$7, 0</t>
  </si>
  <si>
    <t>NonQM (RT)'!$U$22,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</si>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</sst>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22"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12919C"/>
      <name val="Aptos Narrow"/>
      <family val="2"/>
      <scheme val="minor"/>
    </font>
    <font>
      <sz val="11"/>
      <color rgb="FF12919C"/>
      <name val="Aptos Narrow"/>
      <family val="2"/>
    </font>
    <font>
      <b/>
      <sz val="11"/>
      <name val="Calibri"/>
      <family val="2"/>
    </font>
    <font>
      <sz val="11"/>
      <name val="Calibri"/>
      <family val="2"/>
    </font>
    <font>
      <sz val="10"/>
      <name val="Calibri"/>
      <family val="2"/>
    </font>
    <font>
      <sz val="10"/>
      <name val="Calibri"/>
      <family val="2"/>
    </font>
    <font>
      <sz val="14"/>
      <name val="Arial"/>
      <family val="2"/>
    </font>
    <font>
      <b/>
      <i/>
      <sz val="10"/>
      <color theme="1"/>
      <name val="Aptos Narrow"/>
      <family val="2"/>
    </font>
    <font>
      <i/>
      <sz val="9"/>
      <color theme="0" tint="-0.14999847407452621"/>
      <name val="Aptos Narrow"/>
      <family val="2"/>
      <scheme val="minor"/>
    </font>
    <font>
      <sz val="9"/>
      <color theme="0" tint="-0.14999847407452621"/>
      <name val="Aptos Narrow"/>
      <family val="2"/>
      <scheme val="minor"/>
    </font>
    <font>
      <sz val="11"/>
      <color theme="0"/>
      <name val="Aptos Narrow"/>
      <family val="2"/>
      <scheme val="minor"/>
    </font>
    <font>
      <i/>
      <sz val="9"/>
      <color theme="0"/>
      <name val="Aptos Narrow"/>
      <family val="2"/>
      <scheme val="minor"/>
    </font>
    <font>
      <b/>
      <sz val="11"/>
      <color theme="2" tint="-0.499984740745262"/>
      <name val="Aptos Narrow"/>
      <family val="2"/>
    </font>
    <font>
      <sz val="11"/>
      <color theme="2" tint="-0.499984740745262"/>
      <name val="Aptos Narrow"/>
      <family val="2"/>
      <scheme val="minor"/>
    </font>
    <font>
      <sz val="11"/>
      <color theme="2" tint="-0.499984740745262"/>
      <name val="Aptos Narrow"/>
      <family val="2"/>
    </font>
  </fonts>
  <fills count="50">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theme="2" tint="-0.499984740745262"/>
        <bgColor indexed="64"/>
      </patternFill>
    </fill>
  </fills>
  <borders count="10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3" fillId="0" borderId="0" applyNumberFormat="0" applyFill="0" applyBorder="0" applyAlignment="0" applyProtection="0"/>
  </cellStyleXfs>
  <cellXfs count="1058">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3"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5"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4" fillId="0" borderId="14" xfId="2" applyFont="1" applyBorder="1" applyAlignment="1" applyProtection="1">
      <alignment horizontal="center" vertical="center"/>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5"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0"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7" fillId="0" borderId="0" xfId="0" applyFont="1" applyProtection="1">
      <protection hidden="1"/>
    </xf>
    <xf numFmtId="0" fontId="46" fillId="10"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0"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7" fillId="10" borderId="0" xfId="0" applyFont="1" applyFill="1" applyProtection="1">
      <protection hidden="1"/>
    </xf>
    <xf numFmtId="0" fontId="55" fillId="7" borderId="1" xfId="0" applyFont="1" applyFill="1" applyBorder="1" applyAlignment="1" applyProtection="1">
      <alignment horizontal="center" vertical="center"/>
      <protection hidden="1"/>
    </xf>
    <xf numFmtId="0" fontId="55" fillId="7" borderId="41" xfId="0" applyFont="1" applyFill="1" applyBorder="1" applyAlignment="1" applyProtection="1">
      <alignment horizontal="center" vertical="center"/>
      <protection hidden="1"/>
    </xf>
    <xf numFmtId="0" fontId="55" fillId="7" borderId="42" xfId="0" applyFont="1" applyFill="1" applyBorder="1" applyAlignment="1" applyProtection="1">
      <alignment horizontal="center" vertical="center"/>
      <protection hidden="1"/>
    </xf>
    <xf numFmtId="0" fontId="55" fillId="7" borderId="0" xfId="0" applyFont="1" applyFill="1" applyAlignment="1" applyProtection="1">
      <alignment horizontal="center" vertical="center"/>
      <protection hidden="1"/>
    </xf>
    <xf numFmtId="0" fontId="55" fillId="7" borderId="29" xfId="0" applyFont="1" applyFill="1" applyBorder="1" applyAlignment="1" applyProtection="1">
      <alignment horizontal="center" vertical="center"/>
      <protection hidden="1"/>
    </xf>
    <xf numFmtId="0" fontId="55"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1" borderId="0" xfId="0" applyFill="1" applyProtection="1">
      <protection hidden="1"/>
    </xf>
    <xf numFmtId="0" fontId="46" fillId="11"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6" borderId="56" xfId="0" applyNumberFormat="1" applyFont="1" applyFill="1" applyBorder="1" applyAlignment="1" applyProtection="1">
      <alignment horizontal="center"/>
      <protection hidden="1"/>
    </xf>
    <xf numFmtId="0" fontId="58" fillId="14" borderId="47" xfId="2" applyFont="1" applyFill="1" applyBorder="1" applyAlignment="1" applyProtection="1">
      <alignment horizontal="center" vertical="top"/>
      <protection hidden="1"/>
    </xf>
    <xf numFmtId="0" fontId="58" fillId="14" borderId="48" xfId="2" applyFont="1" applyFill="1" applyBorder="1" applyAlignment="1" applyProtection="1">
      <alignment horizontal="center" vertical="top"/>
      <protection hidden="1"/>
    </xf>
    <xf numFmtId="0" fontId="58" fillId="14"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1"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2"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3" fillId="21" borderId="0" xfId="0" quotePrefix="1" applyFont="1" applyFill="1" applyAlignment="1">
      <alignment vertical="center" wrapText="1"/>
    </xf>
    <xf numFmtId="0" fontId="33"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5" fillId="21" borderId="0" xfId="2" applyFont="1" applyFill="1" applyProtection="1">
      <protection hidden="1"/>
    </xf>
    <xf numFmtId="0" fontId="37" fillId="21" borderId="0" xfId="3" applyFont="1" applyFill="1" applyBorder="1" applyAlignment="1">
      <alignment vertical="center"/>
    </xf>
    <xf numFmtId="170" fontId="38" fillId="21" borderId="0" xfId="0" quotePrefix="1" applyNumberFormat="1" applyFont="1" applyFill="1" applyAlignment="1" applyProtection="1">
      <alignment vertical="top" wrapText="1"/>
      <protection hidden="1"/>
    </xf>
    <xf numFmtId="170" fontId="38"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5"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30" fillId="21" borderId="0" xfId="0" applyNumberFormat="1" applyFont="1" applyFill="1" applyAlignment="1" applyProtection="1">
      <alignment vertical="top"/>
      <protection hidden="1"/>
    </xf>
    <xf numFmtId="170" fontId="31"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30" fillId="27" borderId="0" xfId="0" applyNumberFormat="1" applyFont="1" applyFill="1" applyAlignment="1" applyProtection="1">
      <alignment vertical="top"/>
      <protection hidden="1"/>
    </xf>
    <xf numFmtId="166" fontId="30" fillId="27" borderId="10" xfId="0" applyNumberFormat="1" applyFont="1" applyFill="1" applyBorder="1" applyAlignment="1" applyProtection="1">
      <alignment vertical="top"/>
      <protection hidden="1"/>
    </xf>
    <xf numFmtId="166" fontId="30" fillId="27" borderId="32" xfId="0" applyNumberFormat="1" applyFont="1" applyFill="1" applyBorder="1" applyAlignment="1" applyProtection="1">
      <alignment vertical="top"/>
      <protection hidden="1"/>
    </xf>
    <xf numFmtId="166" fontId="30"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30" fillId="27" borderId="9" xfId="0" applyNumberFormat="1" applyFont="1" applyFill="1" applyBorder="1" applyAlignment="1" applyProtection="1">
      <alignment vertical="top"/>
      <protection hidden="1"/>
    </xf>
    <xf numFmtId="166" fontId="30" fillId="27" borderId="1" xfId="0" applyNumberFormat="1" applyFont="1" applyFill="1" applyBorder="1" applyAlignment="1" applyProtection="1">
      <alignment vertical="top"/>
      <protection hidden="1"/>
    </xf>
    <xf numFmtId="166" fontId="30" fillId="27" borderId="3" xfId="0" applyNumberFormat="1" applyFont="1" applyFill="1" applyBorder="1" applyAlignment="1" applyProtection="1">
      <alignment vertical="top"/>
      <protection hidden="1"/>
    </xf>
    <xf numFmtId="166" fontId="30" fillId="27" borderId="2" xfId="0" applyNumberFormat="1" applyFont="1" applyFill="1" applyBorder="1" applyAlignment="1" applyProtection="1">
      <alignment vertical="top"/>
      <protection hidden="1"/>
    </xf>
    <xf numFmtId="166" fontId="30"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30" fillId="35" borderId="0" xfId="0" applyNumberFormat="1" applyFont="1" applyFill="1" applyAlignment="1" applyProtection="1">
      <alignment vertical="top"/>
      <protection hidden="1"/>
    </xf>
    <xf numFmtId="166" fontId="30" fillId="35" borderId="10" xfId="0" applyNumberFormat="1" applyFont="1" applyFill="1" applyBorder="1" applyAlignment="1" applyProtection="1">
      <alignment vertical="top"/>
      <protection hidden="1"/>
    </xf>
    <xf numFmtId="166" fontId="30" fillId="35" borderId="32" xfId="0" applyNumberFormat="1" applyFont="1" applyFill="1" applyBorder="1" applyAlignment="1" applyProtection="1">
      <alignment vertical="top"/>
      <protection hidden="1"/>
    </xf>
    <xf numFmtId="166" fontId="30" fillId="35" borderId="5" xfId="0" applyNumberFormat="1" applyFont="1" applyFill="1" applyBorder="1" applyAlignment="1" applyProtection="1">
      <alignment vertical="top"/>
      <protection hidden="1"/>
    </xf>
    <xf numFmtId="166" fontId="30" fillId="35" borderId="9" xfId="0" applyNumberFormat="1" applyFont="1" applyFill="1" applyBorder="1" applyAlignment="1" applyProtection="1">
      <alignment vertical="top"/>
      <protection hidden="1"/>
    </xf>
    <xf numFmtId="166" fontId="30"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3"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5"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30" fillId="36" borderId="0" xfId="0" applyNumberFormat="1" applyFont="1" applyFill="1" applyAlignment="1" applyProtection="1">
      <alignment vertical="top"/>
      <protection hidden="1"/>
    </xf>
    <xf numFmtId="170" fontId="31"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2" fillId="27" borderId="4" xfId="0" quotePrefix="1" applyNumberFormat="1" applyFont="1" applyFill="1" applyBorder="1" applyAlignment="1" applyProtection="1">
      <alignment vertical="center" wrapText="1"/>
      <protection hidden="1"/>
    </xf>
    <xf numFmtId="170" fontId="42" fillId="27" borderId="32" xfId="0" quotePrefix="1" applyNumberFormat="1" applyFont="1" applyFill="1" applyBorder="1" applyAlignment="1" applyProtection="1">
      <alignment vertical="center" wrapText="1"/>
      <protection hidden="1"/>
    </xf>
    <xf numFmtId="170" fontId="38"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7"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7"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1" borderId="27" xfId="1" applyNumberFormat="1" applyFont="1" applyFill="1" applyBorder="1" applyAlignment="1" applyProtection="1">
      <alignment horizontal="center" vertical="center"/>
      <protection hidden="1"/>
    </xf>
    <xf numFmtId="169" fontId="49" fillId="11" borderId="27" xfId="0" quotePrefix="1" applyNumberFormat="1" applyFont="1" applyFill="1" applyBorder="1" applyAlignment="1" applyProtection="1">
      <alignment horizontal="center" vertical="top"/>
      <protection hidden="1"/>
    </xf>
    <xf numFmtId="0" fontId="0" fillId="38" borderId="20" xfId="0" applyFill="1" applyBorder="1"/>
    <xf numFmtId="0" fontId="47" fillId="38" borderId="20" xfId="0" applyFont="1" applyFill="1" applyBorder="1" applyProtection="1">
      <protection hidden="1"/>
    </xf>
    <xf numFmtId="0" fontId="63" fillId="38" borderId="1" xfId="0" applyFont="1" applyFill="1" applyBorder="1" applyProtection="1">
      <protection hidden="1"/>
    </xf>
    <xf numFmtId="0" fontId="64" fillId="38" borderId="20" xfId="0" applyFont="1" applyFill="1" applyBorder="1" applyAlignment="1" applyProtection="1">
      <alignment horizontal="left"/>
      <protection hidden="1"/>
    </xf>
    <xf numFmtId="0" fontId="65" fillId="38" borderId="20" xfId="0" applyFont="1" applyFill="1" applyBorder="1"/>
    <xf numFmtId="0" fontId="63" fillId="38" borderId="9" xfId="0" applyFont="1" applyFill="1" applyBorder="1" applyProtection="1">
      <protection hidden="1"/>
    </xf>
    <xf numFmtId="0" fontId="65" fillId="38" borderId="4" xfId="0" applyFont="1" applyFill="1" applyBorder="1"/>
    <xf numFmtId="0" fontId="45"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7" fillId="38" borderId="0" xfId="0" applyFont="1" applyFill="1" applyProtection="1">
      <protection hidden="1"/>
    </xf>
    <xf numFmtId="0" fontId="46" fillId="38" borderId="0" xfId="0" applyFont="1" applyFill="1" applyProtection="1">
      <protection hidden="1"/>
    </xf>
    <xf numFmtId="0" fontId="53"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8" fillId="38" borderId="0" xfId="0" applyFont="1" applyFill="1" applyProtection="1">
      <protection hidden="1"/>
    </xf>
    <xf numFmtId="0" fontId="51" fillId="38" borderId="0" xfId="0" applyFont="1" applyFill="1" applyProtection="1">
      <protection hidden="1"/>
    </xf>
    <xf numFmtId="0" fontId="0" fillId="38" borderId="20" xfId="0" applyFill="1" applyBorder="1" applyProtection="1">
      <protection hidden="1"/>
    </xf>
    <xf numFmtId="0" fontId="47"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7" fillId="11" borderId="0" xfId="0" applyFont="1" applyFill="1" applyProtection="1">
      <protection hidden="1"/>
    </xf>
    <xf numFmtId="0" fontId="47"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7" fillId="38" borderId="17" xfId="0" quotePrefix="1" applyFont="1" applyFill="1" applyBorder="1" applyAlignment="1" applyProtection="1">
      <alignment vertical="center"/>
      <protection hidden="1"/>
    </xf>
    <xf numFmtId="0" fontId="47" fillId="38" borderId="18" xfId="0" quotePrefix="1" applyFont="1" applyFill="1" applyBorder="1" applyAlignment="1" applyProtection="1">
      <alignment vertical="center"/>
      <protection hidden="1"/>
    </xf>
    <xf numFmtId="165" fontId="49" fillId="38" borderId="27" xfId="1" applyNumberFormat="1" applyFont="1" applyFill="1" applyBorder="1" applyAlignment="1" applyProtection="1">
      <alignment horizontal="center" vertical="center"/>
      <protection hidden="1"/>
    </xf>
    <xf numFmtId="0" fontId="60" fillId="11" borderId="37" xfId="0" quotePrefix="1" applyFont="1" applyFill="1" applyBorder="1" applyAlignment="1" applyProtection="1">
      <alignment vertical="center"/>
      <protection hidden="1"/>
    </xf>
    <xf numFmtId="0" fontId="60" fillId="11" borderId="38" xfId="0" quotePrefix="1" applyFont="1" applyFill="1" applyBorder="1" applyAlignment="1" applyProtection="1">
      <alignment vertical="center"/>
      <protection hidden="1"/>
    </xf>
    <xf numFmtId="165" fontId="57" fillId="11" borderId="39" xfId="1" applyNumberFormat="1" applyFont="1" applyFill="1" applyBorder="1" applyAlignment="1" applyProtection="1">
      <alignment vertical="center"/>
      <protection hidden="1"/>
    </xf>
    <xf numFmtId="0" fontId="64" fillId="38" borderId="29" xfId="0" applyFont="1" applyFill="1" applyBorder="1" applyProtection="1">
      <protection hidden="1"/>
    </xf>
    <xf numFmtId="0" fontId="65" fillId="38"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8" borderId="29" xfId="0" applyFill="1" applyBorder="1"/>
    <xf numFmtId="0" fontId="44" fillId="11" borderId="20" xfId="0" applyFont="1" applyFill="1" applyBorder="1" applyAlignment="1" applyProtection="1">
      <alignment horizontal="left"/>
      <protection hidden="1"/>
    </xf>
    <xf numFmtId="0" fontId="44" fillId="11" borderId="29" xfId="0" applyFont="1" applyFill="1" applyBorder="1" applyAlignment="1" applyProtection="1">
      <alignment horizontal="left"/>
      <protection hidden="1"/>
    </xf>
    <xf numFmtId="0" fontId="0" fillId="11" borderId="29" xfId="0" applyFill="1" applyBorder="1"/>
    <xf numFmtId="0" fontId="47" fillId="16" borderId="20" xfId="0" applyFont="1" applyFill="1" applyBorder="1" applyAlignment="1" applyProtection="1">
      <alignment horizontal="center" vertical="center"/>
      <protection hidden="1"/>
    </xf>
    <xf numFmtId="0" fontId="45"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2" fillId="35" borderId="0" xfId="0" quotePrefix="1" applyNumberFormat="1" applyFont="1" applyFill="1" applyAlignment="1" applyProtection="1">
      <alignment vertical="center" wrapText="1"/>
      <protection hidden="1"/>
    </xf>
    <xf numFmtId="170" fontId="38" fillId="35" borderId="0" xfId="0" quotePrefix="1" applyNumberFormat="1" applyFont="1" applyFill="1" applyAlignment="1" applyProtection="1">
      <alignment vertical="center" wrapText="1"/>
      <protection hidden="1"/>
    </xf>
    <xf numFmtId="170" fontId="42" fillId="35" borderId="4" xfId="0" quotePrefix="1" applyNumberFormat="1" applyFont="1" applyFill="1" applyBorder="1" applyAlignment="1" applyProtection="1">
      <alignment vertical="center" wrapText="1"/>
      <protection hidden="1"/>
    </xf>
    <xf numFmtId="170" fontId="42" fillId="35" borderId="32" xfId="0" quotePrefix="1" applyNumberFormat="1" applyFont="1" applyFill="1" applyBorder="1" applyAlignment="1" applyProtection="1">
      <alignment vertical="center" wrapText="1"/>
      <protection hidden="1"/>
    </xf>
    <xf numFmtId="170" fontId="38"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6"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3" borderId="0" xfId="0" applyFont="1" applyFill="1" applyProtection="1">
      <protection hidden="1"/>
    </xf>
    <xf numFmtId="0" fontId="68" fillId="0" borderId="0" xfId="0" applyFont="1" applyProtection="1">
      <protection hidden="1"/>
    </xf>
    <xf numFmtId="0" fontId="70" fillId="0" borderId="0" xfId="6" applyFont="1" applyAlignment="1">
      <alignment horizontal="center" vertical="center" wrapText="1"/>
    </xf>
    <xf numFmtId="0" fontId="73" fillId="0" borderId="72" xfId="6" applyFont="1" applyBorder="1" applyAlignment="1">
      <alignment horizontal="center" vertical="center" wrapText="1"/>
    </xf>
    <xf numFmtId="0" fontId="75" fillId="0" borderId="72" xfId="6" applyFont="1" applyBorder="1" applyAlignment="1">
      <alignment horizontal="center" vertical="center" wrapText="1"/>
    </xf>
    <xf numFmtId="0" fontId="73" fillId="41" borderId="72" xfId="6" applyFont="1" applyFill="1" applyBorder="1" applyAlignment="1">
      <alignment horizontal="center" vertical="center" wrapText="1"/>
    </xf>
    <xf numFmtId="0" fontId="70" fillId="41" borderId="72" xfId="6" applyFont="1" applyFill="1" applyBorder="1" applyAlignment="1">
      <alignment horizontal="center" vertical="center" wrapText="1"/>
    </xf>
    <xf numFmtId="0" fontId="75" fillId="41" borderId="72" xfId="6" applyFont="1" applyFill="1" applyBorder="1" applyAlignment="1">
      <alignment horizontal="center" vertical="center" wrapText="1"/>
    </xf>
    <xf numFmtId="0" fontId="70" fillId="0" borderId="72" xfId="6" applyFont="1" applyBorder="1" applyAlignment="1">
      <alignment horizontal="center" vertical="center" wrapText="1"/>
    </xf>
    <xf numFmtId="0" fontId="75" fillId="42" borderId="72"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25" fillId="11" borderId="0" xfId="0" applyFont="1" applyFill="1" applyProtection="1">
      <protection hidden="1"/>
    </xf>
    <xf numFmtId="169" fontId="47" fillId="38" borderId="55" xfId="0" applyNumberFormat="1" applyFont="1" applyFill="1" applyBorder="1" applyAlignment="1">
      <alignment horizontal="center"/>
    </xf>
    <xf numFmtId="169" fontId="47"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7" fillId="38" borderId="60" xfId="0" applyNumberFormat="1" applyFont="1" applyFill="1" applyBorder="1" applyAlignment="1">
      <alignment horizontal="center"/>
    </xf>
    <xf numFmtId="0" fontId="84"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89"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9" fillId="11" borderId="14" xfId="1" applyNumberFormat="1" applyFont="1" applyFill="1" applyBorder="1" applyAlignment="1" applyProtection="1">
      <alignment horizontal="center" vertical="center"/>
      <protection hidden="1"/>
    </xf>
    <xf numFmtId="169" fontId="49" fillId="11"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7"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7" borderId="29" xfId="0" applyFont="1" applyFill="1" applyBorder="1" applyAlignment="1" applyProtection="1">
      <alignment horizontal="center"/>
      <protection hidden="1"/>
    </xf>
    <xf numFmtId="169" fontId="103" fillId="11"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7" xfId="1" applyNumberFormat="1" applyFont="1" applyFill="1" applyBorder="1" applyAlignment="1" applyProtection="1">
      <alignment horizontal="center" vertical="center"/>
      <protection hidden="1"/>
    </xf>
    <xf numFmtId="169" fontId="59" fillId="16" borderId="60" xfId="0" applyNumberFormat="1" applyFont="1" applyFill="1" applyBorder="1" applyAlignment="1" applyProtection="1">
      <alignment horizontal="center"/>
      <protection hidden="1"/>
    </xf>
    <xf numFmtId="0" fontId="58" fillId="14" borderId="91" xfId="2" applyFont="1" applyFill="1" applyBorder="1" applyAlignment="1" applyProtection="1">
      <alignment horizontal="center" vertical="top"/>
      <protection hidden="1"/>
    </xf>
    <xf numFmtId="0" fontId="58" fillId="14" borderId="43" xfId="2" applyFont="1" applyFill="1" applyBorder="1" applyAlignment="1" applyProtection="1">
      <alignment horizontal="center" vertical="top"/>
      <protection hidden="1"/>
    </xf>
    <xf numFmtId="0" fontId="58"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8" xfId="1" applyNumberFormat="1" applyFont="1" applyBorder="1" applyAlignment="1" applyProtection="1">
      <alignment horizontal="center" vertical="top"/>
      <protection hidden="1"/>
    </xf>
    <xf numFmtId="165" fontId="57" fillId="0" borderId="99"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7" borderId="90"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4" borderId="91" xfId="2" applyFont="1" applyFill="1" applyBorder="1" applyAlignment="1" applyProtection="1">
      <alignment horizontal="center" vertical="center"/>
      <protection hidden="1"/>
    </xf>
    <xf numFmtId="0" fontId="44" fillId="0" borderId="0" xfId="0" applyFont="1"/>
    <xf numFmtId="0" fontId="47"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3" fillId="12" borderId="15" xfId="0" applyFont="1" applyFill="1" applyBorder="1" applyAlignment="1" applyProtection="1">
      <alignment horizontal="center"/>
      <protection hidden="1"/>
    </xf>
    <xf numFmtId="0" fontId="55" fillId="7" borderId="4" xfId="0" applyFont="1" applyFill="1" applyBorder="1" applyAlignment="1" applyProtection="1">
      <alignment horizontal="center" vertical="center"/>
      <protection hidden="1"/>
    </xf>
    <xf numFmtId="0" fontId="55" fillId="7" borderId="32" xfId="0" applyFont="1" applyFill="1" applyBorder="1" applyAlignment="1" applyProtection="1">
      <alignment horizontal="center" vertical="center"/>
      <protection hidden="1"/>
    </xf>
    <xf numFmtId="0" fontId="55" fillId="7"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8" borderId="7" xfId="0" applyFont="1" applyFill="1" applyBorder="1"/>
    <xf numFmtId="0" fontId="0" fillId="38"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6" borderId="20" xfId="0" applyNumberFormat="1" applyFont="1" applyFill="1" applyBorder="1" applyAlignment="1" applyProtection="1">
      <alignment horizontal="center" vertical="top"/>
      <protection hidden="1"/>
    </xf>
    <xf numFmtId="0" fontId="0" fillId="16" borderId="0" xfId="0" applyFill="1"/>
    <xf numFmtId="166" fontId="25" fillId="16" borderId="14" xfId="0" applyNumberFormat="1" applyFont="1" applyFill="1" applyBorder="1" applyAlignment="1" applyProtection="1">
      <alignment horizontal="center" vertical="top"/>
      <protection hidden="1"/>
    </xf>
    <xf numFmtId="0" fontId="44" fillId="0" borderId="0" xfId="0" quotePrefix="1" applyFont="1"/>
    <xf numFmtId="0" fontId="0" fillId="10" borderId="0" xfId="0" applyFill="1"/>
    <xf numFmtId="166" fontId="107" fillId="35" borderId="9" xfId="0" applyNumberFormat="1" applyFont="1" applyFill="1" applyBorder="1" applyAlignment="1" applyProtection="1">
      <alignment vertical="top"/>
      <protection hidden="1"/>
    </xf>
    <xf numFmtId="0" fontId="108" fillId="35" borderId="0" xfId="0" applyFont="1" applyFill="1"/>
    <xf numFmtId="0" fontId="110" fillId="0" borderId="85" xfId="0" applyFont="1" applyBorder="1" applyAlignment="1">
      <alignment horizontal="left" vertical="top" wrapText="1"/>
    </xf>
    <xf numFmtId="0" fontId="110" fillId="0" borderId="104" xfId="0" applyFont="1" applyBorder="1" applyAlignment="1">
      <alignment horizontal="left" vertical="top" wrapText="1"/>
    </xf>
    <xf numFmtId="0" fontId="109" fillId="0" borderId="85" xfId="0" applyFont="1" applyBorder="1" applyAlignment="1">
      <alignment horizontal="center" vertical="top" wrapText="1"/>
    </xf>
    <xf numFmtId="0" fontId="109" fillId="0" borderId="85" xfId="0" applyFont="1" applyBorder="1" applyAlignment="1">
      <alignment horizontal="left" vertical="top" wrapText="1" indent="2"/>
    </xf>
    <xf numFmtId="0" fontId="0" fillId="0" borderId="85" xfId="0" applyBorder="1" applyAlignment="1">
      <alignment horizontal="left" vertical="top" wrapText="1" indent="1"/>
    </xf>
    <xf numFmtId="0" fontId="112" fillId="0" borderId="85" xfId="0" applyFont="1" applyBorder="1" applyAlignment="1">
      <alignment horizontal="left" vertical="top" wrapText="1"/>
    </xf>
    <xf numFmtId="0" fontId="0" fillId="0" borderId="85" xfId="0" applyBorder="1" applyAlignment="1">
      <alignment horizontal="left" vertical="top" wrapText="1"/>
    </xf>
    <xf numFmtId="0" fontId="44" fillId="0" borderId="20" xfId="0" applyFont="1" applyBorder="1" applyAlignment="1" applyProtection="1">
      <alignment horizontal="left" wrapText="1"/>
      <protection hidden="1"/>
    </xf>
    <xf numFmtId="0" fontId="44" fillId="11" borderId="20" xfId="0" applyFont="1" applyFill="1" applyBorder="1" applyProtection="1">
      <protection hidden="1"/>
    </xf>
    <xf numFmtId="0" fontId="79" fillId="31" borderId="0" xfId="2" applyFont="1" applyFill="1" applyAlignment="1" applyProtection="1">
      <alignment vertical="center" wrapText="1"/>
      <protection locked="0" hidden="1"/>
    </xf>
    <xf numFmtId="0" fontId="79" fillId="31" borderId="10" xfId="2" applyFont="1" applyFill="1" applyBorder="1" applyAlignment="1" applyProtection="1">
      <alignment vertical="center" wrapText="1"/>
      <protection locked="0" hidden="1"/>
    </xf>
    <xf numFmtId="0" fontId="28" fillId="28" borderId="0" xfId="2" applyFont="1" applyFill="1" applyAlignment="1" applyProtection="1">
      <alignment horizontal="center" vertical="center"/>
      <protection hidden="1"/>
    </xf>
    <xf numFmtId="0" fontId="28" fillId="28" borderId="32" xfId="2" applyFont="1" applyFill="1" applyBorder="1" applyAlignment="1" applyProtection="1">
      <alignment horizontal="center" vertical="center"/>
      <protection hidden="1"/>
    </xf>
    <xf numFmtId="0" fontId="111" fillId="0" borderId="85" xfId="0" applyFont="1" applyBorder="1" applyAlignment="1">
      <alignment horizontal="left" vertical="top" wrapText="1"/>
    </xf>
    <xf numFmtId="166" fontId="119" fillId="49" borderId="13" xfId="0" applyNumberFormat="1" applyFont="1" applyFill="1" applyBorder="1" applyAlignment="1" applyProtection="1">
      <alignment horizontal="center" vertical="top"/>
      <protection hidden="1"/>
    </xf>
    <xf numFmtId="166" fontId="120" fillId="49" borderId="20" xfId="0" quotePrefix="1" applyNumberFormat="1" applyFont="1" applyFill="1" applyBorder="1" applyAlignment="1" applyProtection="1">
      <alignment horizontal="center" vertical="center"/>
      <protection hidden="1"/>
    </xf>
    <xf numFmtId="0" fontId="121" fillId="49" borderId="13" xfId="0" applyFont="1" applyFill="1" applyBorder="1" applyAlignment="1" applyProtection="1">
      <alignment horizontal="center" vertical="center"/>
      <protection hidden="1"/>
    </xf>
    <xf numFmtId="166" fontId="120" fillId="49" borderId="14" xfId="0" quotePrefix="1" applyNumberFormat="1" applyFont="1" applyFill="1" applyBorder="1" applyAlignment="1" applyProtection="1">
      <alignment horizontal="center" vertical="center"/>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3" fillId="0" borderId="0" xfId="0" applyFont="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3" fillId="5" borderId="17" xfId="0" applyFont="1" applyFill="1" applyBorder="1" applyAlignment="1" applyProtection="1">
      <alignment horizontal="center" vertical="center"/>
      <protection hidden="1"/>
    </xf>
    <xf numFmtId="0" fontId="33" fillId="5" borderId="26" xfId="0" applyFont="1" applyFill="1" applyBorder="1" applyAlignment="1" applyProtection="1">
      <alignment horizontal="center" vertical="center"/>
      <protection hidden="1"/>
    </xf>
    <xf numFmtId="0" fontId="33" fillId="5" borderId="31" xfId="0" applyFont="1" applyFill="1" applyBorder="1" applyAlignment="1" applyProtection="1">
      <alignment horizontal="center" vertical="center"/>
      <protection hidden="1"/>
    </xf>
    <xf numFmtId="0" fontId="33" fillId="5" borderId="18" xfId="0"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114" fillId="5" borderId="95" xfId="0" applyFont="1" applyFill="1" applyBorder="1" applyAlignment="1" applyProtection="1">
      <alignment horizontal="left" vertical="center"/>
      <protection hidden="1"/>
    </xf>
    <xf numFmtId="0" fontId="0" fillId="0" borderId="96" xfId="0" applyBorder="1"/>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3" fillId="5" borderId="20" xfId="0" applyFont="1" applyFill="1" applyBorder="1" applyAlignment="1" applyProtection="1">
      <alignment horizontal="center" vertical="center"/>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99" fillId="5" borderId="9" xfId="2" applyFont="1" applyFill="1" applyBorder="1" applyAlignment="1" applyProtection="1">
      <alignment horizontal="center" vertical="center" wrapText="1"/>
      <protection hidden="1"/>
    </xf>
    <xf numFmtId="0" fontId="99" fillId="5" borderId="0" xfId="2" applyFont="1" applyFill="1" applyAlignment="1" applyProtection="1">
      <alignment horizontal="center" vertical="center" wrapText="1"/>
      <protection hidden="1"/>
    </xf>
    <xf numFmtId="0" fontId="99" fillId="5" borderId="10" xfId="2" applyFont="1" applyFill="1" applyBorder="1" applyAlignment="1" applyProtection="1">
      <alignment horizontal="center" vertical="center" wrapText="1"/>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48" fillId="15" borderId="1" xfId="0" applyFont="1" applyFill="1" applyBorder="1" applyAlignment="1" applyProtection="1">
      <alignment horizontal="center" vertical="top"/>
      <protection hidden="1"/>
    </xf>
    <xf numFmtId="0" fontId="48" fillId="15" borderId="3" xfId="0" applyFont="1" applyFill="1" applyBorder="1" applyAlignment="1" applyProtection="1">
      <alignment horizontal="center" vertical="top"/>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54" fillId="13" borderId="31" xfId="2" applyFont="1" applyFill="1" applyBorder="1" applyAlignment="1" applyProtection="1">
      <alignment horizontal="center"/>
      <protection hidden="1"/>
    </xf>
    <xf numFmtId="0" fontId="48" fillId="15" borderId="4" xfId="0" applyFont="1" applyFill="1" applyBorder="1" applyAlignment="1" applyProtection="1">
      <alignment horizontal="center" vertical="top"/>
      <protection hidden="1"/>
    </xf>
    <xf numFmtId="0" fontId="48" fillId="15" borderId="32" xfId="0" applyFont="1" applyFill="1" applyBorder="1" applyAlignment="1" applyProtection="1">
      <alignment horizontal="center" vertical="top"/>
      <protection hidden="1"/>
    </xf>
    <xf numFmtId="0" fontId="58" fillId="14" borderId="33" xfId="2" applyFont="1" applyFill="1" applyBorder="1" applyAlignment="1" applyProtection="1">
      <alignment horizontal="center" vertical="top"/>
      <protection hidden="1"/>
    </xf>
    <xf numFmtId="0" fontId="58" fillId="14" borderId="52" xfId="2" applyFont="1" applyFill="1" applyBorder="1" applyAlignment="1" applyProtection="1">
      <alignment horizontal="center" vertical="top"/>
      <protection hidden="1"/>
    </xf>
    <xf numFmtId="0" fontId="58" fillId="14"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3" borderId="4" xfId="2" applyFont="1" applyFill="1" applyBorder="1" applyAlignment="1" applyProtection="1">
      <alignment horizontal="center"/>
      <protection hidden="1"/>
    </xf>
    <xf numFmtId="0" fontId="54" fillId="13" borderId="32" xfId="2" applyFont="1" applyFill="1" applyBorder="1" applyAlignment="1" applyProtection="1">
      <alignment horizontal="center"/>
      <protection hidden="1"/>
    </xf>
    <xf numFmtId="0" fontId="47" fillId="11" borderId="17" xfId="0" quotePrefix="1" applyFont="1" applyFill="1" applyBorder="1" applyAlignment="1" applyProtection="1">
      <alignment vertical="center"/>
      <protection hidden="1"/>
    </xf>
    <xf numFmtId="0" fontId="47" fillId="11" borderId="18" xfId="0" quotePrefix="1" applyFont="1" applyFill="1" applyBorder="1" applyAlignment="1" applyProtection="1">
      <alignment vertical="center"/>
      <protection hidden="1"/>
    </xf>
    <xf numFmtId="0" fontId="78" fillId="0" borderId="66" xfId="6" applyFont="1" applyBorder="1" applyAlignment="1">
      <alignment horizontal="center" vertical="center"/>
    </xf>
    <xf numFmtId="0" fontId="78" fillId="0" borderId="68"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3"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4" xfId="6" applyFont="1" applyBorder="1" applyAlignment="1">
      <alignment horizontal="center" vertical="center"/>
    </xf>
    <xf numFmtId="0" fontId="78" fillId="0" borderId="75" xfId="6" applyFont="1" applyBorder="1" applyAlignment="1">
      <alignment horizontal="center" vertical="center"/>
    </xf>
    <xf numFmtId="0" fontId="70" fillId="0" borderId="76" xfId="6" applyFont="1" applyBorder="1" applyAlignment="1">
      <alignment horizontal="center" vertical="center"/>
    </xf>
    <xf numFmtId="0" fontId="70" fillId="0" borderId="77" xfId="6" applyFont="1" applyBorder="1" applyAlignment="1">
      <alignment horizontal="center" vertical="center"/>
    </xf>
    <xf numFmtId="0" fontId="75" fillId="43" borderId="71" xfId="6" applyFont="1" applyFill="1" applyBorder="1" applyAlignment="1">
      <alignment horizontal="center" vertical="center" wrapText="1"/>
    </xf>
    <xf numFmtId="0" fontId="75" fillId="43" borderId="70" xfId="6" applyFont="1" applyFill="1" applyBorder="1" applyAlignment="1">
      <alignment horizontal="center" vertical="center" wrapText="1"/>
    </xf>
    <xf numFmtId="0" fontId="75" fillId="43" borderId="69" xfId="6" applyFont="1" applyFill="1" applyBorder="1" applyAlignment="1">
      <alignment horizontal="center" vertical="center" wrapText="1"/>
    </xf>
    <xf numFmtId="0" fontId="71" fillId="40" borderId="71" xfId="6" applyFont="1" applyFill="1" applyBorder="1" applyAlignment="1">
      <alignment horizontal="center" vertical="center" wrapText="1"/>
    </xf>
    <xf numFmtId="0" fontId="71" fillId="40" borderId="70" xfId="6" applyFont="1" applyFill="1" applyBorder="1" applyAlignment="1">
      <alignment horizontal="center" vertical="center" wrapText="1"/>
    </xf>
    <xf numFmtId="0" fontId="71" fillId="40" borderId="69" xfId="6" applyFont="1" applyFill="1" applyBorder="1" applyAlignment="1">
      <alignment horizontal="center" vertical="center" wrapText="1"/>
    </xf>
    <xf numFmtId="0" fontId="70" fillId="41" borderId="71" xfId="6" applyFont="1" applyFill="1" applyBorder="1" applyAlignment="1">
      <alignment horizontal="center" vertical="center" wrapText="1"/>
    </xf>
    <xf numFmtId="0" fontId="70" fillId="41" borderId="69" xfId="6" applyFont="1" applyFill="1" applyBorder="1" applyAlignment="1">
      <alignment horizontal="center" vertical="center" wrapText="1"/>
    </xf>
    <xf numFmtId="0" fontId="75" fillId="0" borderId="71" xfId="6" applyFont="1" applyBorder="1" applyAlignment="1">
      <alignment horizontal="center" vertical="center" wrapText="1"/>
    </xf>
    <xf numFmtId="0" fontId="75" fillId="0" borderId="69" xfId="6" applyFont="1" applyBorder="1" applyAlignment="1">
      <alignment horizontal="center" vertical="center" wrapText="1"/>
    </xf>
    <xf numFmtId="0" fontId="75" fillId="41" borderId="71" xfId="6" applyFont="1" applyFill="1" applyBorder="1" applyAlignment="1">
      <alignment horizontal="center" vertical="center" wrapText="1"/>
    </xf>
    <xf numFmtId="0" fontId="75" fillId="41" borderId="69" xfId="6" applyFont="1" applyFill="1" applyBorder="1" applyAlignment="1">
      <alignment horizontal="center" vertical="center" wrapText="1"/>
    </xf>
    <xf numFmtId="0" fontId="70" fillId="0" borderId="71" xfId="6" applyFont="1" applyBorder="1" applyAlignment="1">
      <alignment horizontal="center" vertical="center" wrapText="1"/>
    </xf>
    <xf numFmtId="0" fontId="70" fillId="0" borderId="69" xfId="6" applyFont="1" applyBorder="1" applyAlignment="1">
      <alignment horizontal="center" vertical="center" wrapText="1"/>
    </xf>
    <xf numFmtId="0" fontId="47" fillId="38" borderId="17" xfId="0" quotePrefix="1" applyFont="1" applyFill="1" applyBorder="1" applyAlignment="1" applyProtection="1">
      <alignment vertical="center"/>
      <protection hidden="1"/>
    </xf>
    <xf numFmtId="0" fontId="47" fillId="38" borderId="18" xfId="0" quotePrefix="1" applyFont="1" applyFill="1" applyBorder="1" applyAlignment="1" applyProtection="1">
      <alignment vertical="center"/>
      <protection hidden="1"/>
    </xf>
    <xf numFmtId="0" fontId="54" fillId="7" borderId="1" xfId="2" applyFont="1" applyFill="1" applyBorder="1" applyAlignment="1" applyProtection="1">
      <alignment horizontal="center"/>
      <protection hidden="1"/>
    </xf>
    <xf numFmtId="0" fontId="54" fillId="7" borderId="3" xfId="2" applyFont="1" applyFill="1" applyBorder="1" applyAlignment="1" applyProtection="1">
      <alignment horizontal="center"/>
      <protection hidden="1"/>
    </xf>
    <xf numFmtId="0" fontId="54" fillId="7" borderId="2" xfId="2" applyFont="1" applyFill="1" applyBorder="1" applyAlignment="1" applyProtection="1">
      <alignment horizontal="center"/>
      <protection hidden="1"/>
    </xf>
    <xf numFmtId="0" fontId="54" fillId="7" borderId="40" xfId="2" applyFont="1" applyFill="1" applyBorder="1" applyAlignment="1" applyProtection="1">
      <alignment horizontal="center"/>
      <protection hidden="1"/>
    </xf>
    <xf numFmtId="0" fontId="54" fillId="7"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0" fontId="33" fillId="5" borderId="23" xfId="0" applyFont="1" applyFill="1" applyBorder="1" applyAlignment="1" applyProtection="1">
      <alignment horizontal="center" vertical="center"/>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1" fillId="10" borderId="17" xfId="0" quotePrefix="1" applyFont="1" applyFill="1" applyBorder="1" applyAlignment="1" applyProtection="1">
      <alignment horizontal="center" vertical="center"/>
      <protection hidden="1"/>
    </xf>
    <xf numFmtId="0" fontId="41" fillId="10" borderId="22" xfId="0" quotePrefix="1" applyFont="1" applyFill="1" applyBorder="1" applyAlignment="1" applyProtection="1">
      <alignment horizontal="center" vertical="center"/>
      <protection hidden="1"/>
    </xf>
    <xf numFmtId="0" fontId="41" fillId="10" borderId="18" xfId="0" quotePrefix="1" applyFont="1" applyFill="1" applyBorder="1" applyAlignment="1" applyProtection="1">
      <alignment horizontal="center" vertical="center"/>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41" fillId="10" borderId="25" xfId="0" quotePrefix="1" applyFont="1" applyFill="1" applyBorder="1" applyAlignment="1" applyProtection="1">
      <alignment horizontal="center" vertical="center"/>
      <protection hidden="1"/>
    </xf>
    <xf numFmtId="0" fontId="33" fillId="5" borderId="25" xfId="0" applyFont="1" applyFill="1" applyBorder="1" applyAlignment="1" applyProtection="1">
      <alignment horizontal="center" vertical="center"/>
      <protection hidden="1"/>
    </xf>
    <xf numFmtId="166" fontId="80" fillId="0" borderId="77" xfId="0" applyNumberFormat="1" applyFont="1" applyBorder="1" applyAlignment="1" applyProtection="1">
      <alignment horizontal="center" vertical="center"/>
      <protection hidden="1"/>
    </xf>
    <xf numFmtId="166" fontId="80" fillId="0" borderId="78" xfId="0" applyNumberFormat="1" applyFont="1" applyBorder="1" applyAlignment="1" applyProtection="1">
      <alignment horizontal="center" vertical="center" wrapText="1"/>
      <protection hidden="1"/>
    </xf>
    <xf numFmtId="166" fontId="80" fillId="0" borderId="79"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165" fontId="97" fillId="5" borderId="9" xfId="2" applyNumberFormat="1" applyFont="1" applyFill="1" applyBorder="1" applyAlignment="1" applyProtection="1">
      <alignment horizontal="center" vertical="center" wrapText="1"/>
      <protection hidden="1"/>
    </xf>
    <xf numFmtId="165" fontId="97" fillId="5" borderId="10" xfId="2" applyNumberFormat="1" applyFont="1" applyFill="1" applyBorder="1" applyAlignment="1" applyProtection="1">
      <alignment horizontal="center" vertical="center" wrapText="1"/>
      <protection hidden="1"/>
    </xf>
    <xf numFmtId="0" fontId="41" fillId="10" borderId="26" xfId="0" quotePrefix="1" applyFont="1" applyFill="1" applyBorder="1" applyAlignment="1" applyProtection="1">
      <alignment horizontal="center" vertical="center"/>
      <protection hidden="1"/>
    </xf>
    <xf numFmtId="0" fontId="41" fillId="10" borderId="23" xfId="0" quotePrefix="1" applyFont="1" applyFill="1" applyBorder="1" applyAlignment="1" applyProtection="1">
      <alignment horizontal="center" vertical="center"/>
      <protection hidden="1"/>
    </xf>
    <xf numFmtId="0" fontId="41" fillId="10" borderId="24" xfId="0" quotePrefix="1" applyFont="1" applyFill="1" applyBorder="1" applyAlignment="1" applyProtection="1">
      <alignment horizontal="center" vertical="center"/>
      <protection hidden="1"/>
    </xf>
    <xf numFmtId="0" fontId="0" fillId="0" borderId="52" xfId="0" applyBorder="1" applyAlignment="1">
      <alignment horizontal="center" vertical="center"/>
    </xf>
    <xf numFmtId="0" fontId="117" fillId="0" borderId="2" xfId="0" applyFont="1" applyBorder="1" applyAlignment="1">
      <alignment horizontal="center" vertical="center"/>
    </xf>
    <xf numFmtId="0" fontId="117" fillId="0" borderId="9" xfId="0" applyFont="1" applyBorder="1" applyAlignment="1">
      <alignment horizontal="center" vertical="center"/>
    </xf>
    <xf numFmtId="0" fontId="117" fillId="0" borderId="10" xfId="0" applyFont="1" applyBorder="1" applyAlignment="1">
      <alignment horizontal="center" vertical="center"/>
    </xf>
    <xf numFmtId="0" fontId="117" fillId="0" borderId="3" xfId="0" applyFont="1" applyBorder="1" applyAlignment="1">
      <alignment horizontal="center" vertical="center"/>
    </xf>
    <xf numFmtId="0" fontId="117" fillId="0" borderId="0" xfId="0" applyFont="1" applyAlignment="1">
      <alignment horizontal="center" vertical="center"/>
    </xf>
    <xf numFmtId="0" fontId="117" fillId="0" borderId="5" xfId="0" applyFont="1" applyBorder="1" applyAlignment="1">
      <alignment horizontal="center" vertical="center"/>
    </xf>
    <xf numFmtId="0" fontId="117" fillId="0" borderId="32" xfId="0" applyFont="1"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9" fillId="20" borderId="23" xfId="2" applyFont="1" applyFill="1" applyBorder="1" applyAlignment="1" applyProtection="1">
      <alignment horizontal="center" vertical="center" wrapText="1"/>
      <protection hidden="1"/>
    </xf>
    <xf numFmtId="0" fontId="29" fillId="20" borderId="24" xfId="2" applyFont="1" applyFill="1" applyBorder="1" applyAlignment="1" applyProtection="1">
      <alignment horizontal="center" vertical="center" wrapText="1"/>
      <protection hidden="1"/>
    </xf>
    <xf numFmtId="0" fontId="29" fillId="20" borderId="0" xfId="2" applyFont="1" applyFill="1" applyAlignment="1" applyProtection="1">
      <alignment horizontal="center" vertical="center" wrapText="1"/>
      <protection hidden="1"/>
    </xf>
    <xf numFmtId="0" fontId="29" fillId="20"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9" fillId="20" borderId="7" xfId="2" applyFont="1" applyFill="1" applyBorder="1" applyAlignment="1" applyProtection="1">
      <alignment horizontal="center" vertical="center" wrapText="1"/>
      <protection hidden="1"/>
    </xf>
    <xf numFmtId="0" fontId="29" fillId="20" borderId="8" xfId="2"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27" borderId="0" xfId="3" applyFont="1" applyFill="1" applyBorder="1" applyAlignment="1">
      <alignment horizontal="center" vertical="center"/>
    </xf>
    <xf numFmtId="0" fontId="62" fillId="6" borderId="9" xfId="0" quotePrefix="1" applyFont="1" applyFill="1" applyBorder="1" applyAlignment="1" applyProtection="1">
      <alignment horizontal="center" vertical="center"/>
      <protection hidden="1"/>
    </xf>
    <xf numFmtId="0" fontId="62" fillId="6" borderId="0" xfId="0" quotePrefix="1" applyFont="1" applyFill="1" applyAlignment="1" applyProtection="1">
      <alignment horizontal="center" vertical="center"/>
      <protection hidden="1"/>
    </xf>
    <xf numFmtId="169" fontId="62" fillId="6" borderId="80" xfId="0" applyNumberFormat="1" applyFont="1" applyFill="1" applyBorder="1" applyAlignment="1" applyProtection="1">
      <alignment horizontal="center" vertical="center"/>
      <protection hidden="1"/>
    </xf>
    <xf numFmtId="169" fontId="62"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0" fontId="15" fillId="28" borderId="9" xfId="2" applyFont="1" applyFill="1" applyBorder="1" applyAlignment="1" applyProtection="1">
      <alignment horizontal="center" vertical="center"/>
      <protection hidden="1"/>
    </xf>
    <xf numFmtId="0" fontId="15" fillId="28"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28" fillId="28" borderId="9" xfId="2" applyFont="1" applyFill="1" applyBorder="1" applyAlignment="1" applyProtection="1">
      <alignment horizontal="center" vertical="center"/>
      <protection hidden="1"/>
    </xf>
    <xf numFmtId="0" fontId="28" fillId="28" borderId="0" xfId="2" applyFont="1" applyFill="1" applyAlignment="1" applyProtection="1">
      <alignment horizontal="center" vertical="center"/>
      <protection hidden="1"/>
    </xf>
    <xf numFmtId="0" fontId="79" fillId="31" borderId="9" xfId="2" applyFont="1" applyFill="1" applyBorder="1" applyAlignment="1" applyProtection="1">
      <alignment horizontal="center" vertical="center" wrapText="1"/>
      <protection hidden="1"/>
    </xf>
    <xf numFmtId="0" fontId="79" fillId="31" borderId="0" xfId="2" applyFont="1" applyFill="1" applyAlignment="1" applyProtection="1">
      <alignment horizontal="center" vertical="center" wrapText="1"/>
      <protection hidden="1"/>
    </xf>
    <xf numFmtId="0" fontId="79" fillId="31" borderId="10" xfId="2" applyFont="1" applyFill="1" applyBorder="1" applyAlignment="1" applyProtection="1">
      <alignment horizontal="center" vertical="center" wrapText="1"/>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0" fontId="115" fillId="31" borderId="9" xfId="2" applyFont="1" applyFill="1" applyBorder="1" applyAlignment="1" applyProtection="1">
      <alignment horizontal="center" vertical="center" wrapText="1"/>
      <protection hidden="1"/>
    </xf>
    <xf numFmtId="0" fontId="115" fillId="31" borderId="0" xfId="2" applyFont="1" applyFill="1" applyAlignment="1" applyProtection="1">
      <alignment horizontal="center" vertical="center" wrapText="1"/>
      <protection hidden="1"/>
    </xf>
    <xf numFmtId="0" fontId="118" fillId="31" borderId="9" xfId="2" applyFont="1" applyFill="1" applyBorder="1" applyAlignment="1" applyProtection="1">
      <alignment horizontal="center" vertical="center" wrapText="1"/>
      <protection hidden="1"/>
    </xf>
    <xf numFmtId="0" fontId="118" fillId="31" borderId="0" xfId="2" applyFont="1" applyFill="1" applyAlignment="1" applyProtection="1">
      <alignment horizontal="center" vertical="center" wrapText="1"/>
      <protection hidden="1"/>
    </xf>
    <xf numFmtId="0" fontId="79" fillId="31" borderId="0" xfId="2" applyFont="1" applyFill="1" applyAlignment="1" applyProtection="1">
      <alignment horizontal="center" vertical="center" wrapText="1"/>
      <protection locked="0" hidden="1"/>
    </xf>
    <xf numFmtId="0" fontId="79" fillId="31" borderId="10" xfId="2" applyFont="1" applyFill="1" applyBorder="1" applyAlignment="1" applyProtection="1">
      <alignment horizontal="center" vertical="center" wrapText="1"/>
      <protection locked="0"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28" fillId="28" borderId="9" xfId="2" applyFont="1" applyFill="1" applyBorder="1" applyAlignment="1" applyProtection="1">
      <alignment horizontal="center"/>
      <protection hidden="1"/>
    </xf>
    <xf numFmtId="0" fontId="28" fillId="28" borderId="0" xfId="2" applyFont="1" applyFill="1" applyAlignment="1" applyProtection="1">
      <alignment horizontal="center"/>
      <protection hidden="1"/>
    </xf>
    <xf numFmtId="0" fontId="28" fillId="28" borderId="10" xfId="2" applyFont="1" applyFill="1" applyBorder="1" applyAlignment="1" applyProtection="1">
      <alignment horizontal="center"/>
      <protection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86" fillId="35" borderId="93" xfId="0" applyFont="1" applyFill="1" applyBorder="1" applyAlignment="1" applyProtection="1">
      <alignment horizontal="center" vertical="top" wrapText="1"/>
      <protection hidden="1"/>
    </xf>
    <xf numFmtId="0" fontId="113" fillId="35" borderId="0" xfId="0" applyFont="1" applyFill="1" applyAlignment="1">
      <alignment vertical="top"/>
    </xf>
    <xf numFmtId="165" fontId="11" fillId="29" borderId="64" xfId="1" applyNumberFormat="1" applyFont="1" applyFill="1" applyBorder="1" applyAlignment="1" applyProtection="1">
      <alignment horizontal="center" vertical="center"/>
      <protection hidden="1"/>
    </xf>
    <xf numFmtId="0" fontId="37" fillId="35" borderId="0" xfId="3" applyFont="1" applyFill="1" applyBorder="1" applyAlignment="1">
      <alignment horizontal="center" vertical="center"/>
    </xf>
    <xf numFmtId="165" fontId="11" fillId="29" borderId="27" xfId="1" applyNumberFormat="1" applyFont="1" applyFill="1" applyBorder="1" applyAlignment="1" applyProtection="1">
      <alignment horizontal="center" vertical="center"/>
      <protection hidden="1"/>
    </xf>
    <xf numFmtId="0" fontId="121" fillId="49" borderId="27" xfId="0" applyFont="1" applyFill="1" applyBorder="1" applyAlignment="1" applyProtection="1">
      <alignment horizontal="center" vertical="center"/>
      <protection hidden="1"/>
    </xf>
    <xf numFmtId="0" fontId="121" fillId="49" borderId="18" xfId="0"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116" fillId="31" borderId="0" xfId="2" applyFont="1" applyFill="1" applyAlignment="1" applyProtection="1">
      <alignment horizontal="center" vertical="center" wrapText="1"/>
      <protection hidden="1"/>
    </xf>
    <xf numFmtId="166" fontId="19" fillId="32" borderId="25" xfId="0" applyNumberFormat="1" applyFont="1" applyFill="1" applyBorder="1" applyAlignment="1" applyProtection="1">
      <alignment horizontal="center" vertical="top"/>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0" fontId="17" fillId="28" borderId="10" xfId="2" applyFont="1" applyFill="1" applyBorder="1" applyAlignment="1" applyProtection="1">
      <alignment horizontal="center"/>
      <protection hidden="1"/>
    </xf>
    <xf numFmtId="0" fontId="15" fillId="28" borderId="1" xfId="2" applyFont="1" applyFill="1" applyBorder="1" applyAlignment="1" applyProtection="1">
      <alignment horizontal="center" vertical="center"/>
      <protection hidden="1"/>
    </xf>
    <xf numFmtId="0" fontId="15" fillId="28" borderId="3" xfId="2" applyFont="1" applyFill="1" applyBorder="1" applyAlignment="1" applyProtection="1">
      <alignment horizontal="center" vertical="center"/>
      <protection hidden="1"/>
    </xf>
    <xf numFmtId="0" fontId="15" fillId="28" borderId="2" xfId="2" applyFont="1" applyFill="1" applyBorder="1" applyAlignment="1" applyProtection="1">
      <alignment horizontal="center" vertical="center"/>
      <protection hidden="1"/>
    </xf>
    <xf numFmtId="0" fontId="15" fillId="28" borderId="4" xfId="2" applyFont="1" applyFill="1" applyBorder="1" applyAlignment="1" applyProtection="1">
      <alignment horizontal="center" vertical="center"/>
      <protection hidden="1"/>
    </xf>
    <xf numFmtId="0" fontId="15" fillId="28" borderId="32" xfId="2" applyFont="1" applyFill="1" applyBorder="1" applyAlignment="1" applyProtection="1">
      <alignment horizontal="center" vertical="center"/>
      <protection hidden="1"/>
    </xf>
    <xf numFmtId="0" fontId="15" fillId="28" borderId="5" xfId="2" applyFont="1" applyFill="1" applyBorder="1" applyAlignment="1" applyProtection="1">
      <alignment horizontal="center" vertical="center"/>
      <protection hidden="1"/>
    </xf>
    <xf numFmtId="0" fontId="28"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0" fillId="0" borderId="8" xfId="0" applyBorder="1" applyAlignment="1">
      <alignment horizontal="center" vertical="center"/>
    </xf>
    <xf numFmtId="0" fontId="30" fillId="47" borderId="40" xfId="2" applyFont="1" applyFill="1" applyBorder="1" applyAlignment="1" applyProtection="1">
      <alignment horizontal="center" wrapText="1"/>
      <protection hidden="1"/>
    </xf>
    <xf numFmtId="0" fontId="30" fillId="47" borderId="23" xfId="2" applyFont="1" applyFill="1" applyBorder="1" applyAlignment="1" applyProtection="1">
      <alignment horizontal="center" wrapText="1"/>
      <protection hidden="1"/>
    </xf>
    <xf numFmtId="0" fontId="30" fillId="47" borderId="31" xfId="2" applyFont="1" applyFill="1" applyBorder="1" applyAlignment="1" applyProtection="1">
      <alignment horizontal="center" wrapText="1"/>
      <protection hidden="1"/>
    </xf>
    <xf numFmtId="0" fontId="30" fillId="47" borderId="57" xfId="2" applyFont="1" applyFill="1" applyBorder="1" applyAlignment="1" applyProtection="1">
      <alignment horizontal="center" wrapText="1"/>
      <protection hidden="1"/>
    </xf>
    <xf numFmtId="0" fontId="30" fillId="47" borderId="7" xfId="2" applyFont="1" applyFill="1" applyBorder="1" applyAlignment="1" applyProtection="1">
      <alignment horizontal="center" wrapText="1"/>
      <protection hidden="1"/>
    </xf>
    <xf numFmtId="0" fontId="30" fillId="47" borderId="11" xfId="2" applyFont="1" applyFill="1" applyBorder="1" applyAlignment="1" applyProtection="1">
      <alignment horizontal="center" wrapText="1"/>
      <protection hidden="1"/>
    </xf>
    <xf numFmtId="0" fontId="99" fillId="5" borderId="26" xfId="2" applyFont="1" applyFill="1" applyBorder="1" applyAlignment="1" applyProtection="1">
      <alignment horizontal="center" vertical="center" wrapText="1"/>
      <protection hidden="1"/>
    </xf>
    <xf numFmtId="0" fontId="99" fillId="5" borderId="23" xfId="2" applyFont="1" applyFill="1" applyBorder="1" applyAlignment="1" applyProtection="1">
      <alignment horizontal="center" vertical="center" wrapText="1"/>
      <protection hidden="1"/>
    </xf>
    <xf numFmtId="0" fontId="99" fillId="5" borderId="24" xfId="2" applyFont="1" applyFill="1" applyBorder="1" applyAlignment="1" applyProtection="1">
      <alignment horizontal="center" vertical="center" wrapText="1"/>
      <protection hidden="1"/>
    </xf>
    <xf numFmtId="0" fontId="99" fillId="5" borderId="6" xfId="2" applyFont="1" applyFill="1" applyBorder="1" applyAlignment="1" applyProtection="1">
      <alignment horizontal="center" vertical="center" wrapText="1"/>
      <protection hidden="1"/>
    </xf>
    <xf numFmtId="0" fontId="99" fillId="5" borderId="7" xfId="2" applyFont="1" applyFill="1" applyBorder="1" applyAlignment="1" applyProtection="1">
      <alignment horizontal="center" vertical="center" wrapText="1"/>
      <protection hidden="1"/>
    </xf>
    <xf numFmtId="0" fontId="99" fillId="5" borderId="8" xfId="2" applyFont="1" applyFill="1" applyBorder="1" applyAlignment="1" applyProtection="1">
      <alignment horizontal="center" vertical="center" wrapText="1"/>
      <protection hidden="1"/>
    </xf>
    <xf numFmtId="0" fontId="83" fillId="5" borderId="6" xfId="7" applyFill="1" applyBorder="1" applyAlignment="1">
      <alignment horizontal="center" vertical="center"/>
    </xf>
    <xf numFmtId="0" fontId="83" fillId="5" borderId="8" xfId="7" applyFill="1" applyBorder="1" applyAlignment="1">
      <alignment horizontal="center" vertical="center"/>
    </xf>
    <xf numFmtId="0" fontId="30" fillId="47" borderId="27" xfId="2" applyFont="1" applyFill="1" applyBorder="1" applyAlignment="1" applyProtection="1">
      <alignment horizontal="center" vertical="center"/>
      <protection hidden="1"/>
    </xf>
    <xf numFmtId="0" fontId="30" fillId="47" borderId="22" xfId="2" applyFont="1" applyFill="1" applyBorder="1" applyAlignment="1" applyProtection="1">
      <alignment horizontal="center" vertical="center"/>
      <protection hidden="1"/>
    </xf>
    <xf numFmtId="0" fontId="30" fillId="47" borderId="18" xfId="2" applyFont="1" applyFill="1" applyBorder="1" applyAlignment="1" applyProtection="1">
      <alignment horizontal="center" vertical="center"/>
      <protection hidden="1"/>
    </xf>
    <xf numFmtId="0" fontId="35" fillId="35" borderId="4" xfId="2" applyFont="1" applyFill="1" applyBorder="1" applyAlignment="1" applyProtection="1">
      <alignment horizontal="center" vertical="center"/>
      <protection hidden="1"/>
    </xf>
    <xf numFmtId="0" fontId="100" fillId="46" borderId="32" xfId="0" applyFont="1" applyFill="1" applyBorder="1" applyAlignment="1">
      <alignment horizontal="center" vertical="center"/>
    </xf>
    <xf numFmtId="0" fontId="100" fillId="46" borderId="5" xfId="0" applyFont="1" applyFill="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28"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110" fillId="0" borderId="82" xfId="0" applyFont="1" applyBorder="1" applyAlignment="1">
      <alignment horizontal="left" vertical="top" wrapText="1"/>
    </xf>
    <xf numFmtId="0" fontId="110" fillId="0" borderId="84" xfId="0" applyFont="1" applyBorder="1" applyAlignment="1">
      <alignment horizontal="left" vertical="top"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87" fillId="0" borderId="74" xfId="6" applyFont="1" applyBorder="1" applyAlignment="1">
      <alignment horizontal="center" vertical="center"/>
    </xf>
    <xf numFmtId="0" fontId="87" fillId="0" borderId="75" xfId="6" applyFont="1" applyBorder="1" applyAlignment="1">
      <alignment horizontal="center" vertical="center"/>
    </xf>
    <xf numFmtId="0" fontId="88" fillId="0" borderId="73"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8" fillId="0" borderId="14" xfId="6" applyFont="1" applyBorder="1" applyAlignment="1">
      <alignment horizontal="center" vertical="center" wrapText="1"/>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8" fillId="0" borderId="76" xfId="6" applyFont="1" applyBorder="1" applyAlignment="1">
      <alignment horizontal="center" vertical="center"/>
    </xf>
    <xf numFmtId="0" fontId="88" fillId="0" borderId="77" xfId="6" applyFont="1" applyBorder="1" applyAlignment="1">
      <alignment horizontal="center" vertical="center"/>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7" fillId="0" borderId="66" xfId="6" applyFont="1" applyBorder="1" applyAlignment="1">
      <alignment horizontal="center" vertical="center"/>
    </xf>
    <xf numFmtId="0" fontId="87" fillId="0" borderId="68"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112" fillId="0" borderId="82" xfId="0" applyFont="1" applyBorder="1" applyAlignment="1">
      <alignment horizontal="left" vertical="top" wrapText="1"/>
    </xf>
    <xf numFmtId="0" fontId="112" fillId="0" borderId="84" xfId="0" applyFont="1" applyBorder="1" applyAlignment="1">
      <alignment horizontal="left" vertical="top" wrapText="1"/>
    </xf>
    <xf numFmtId="0" fontId="92" fillId="0" borderId="66" xfId="0" applyFont="1" applyBorder="1" applyAlignment="1">
      <alignment horizontal="center" vertical="center" wrapText="1"/>
    </xf>
    <xf numFmtId="0" fontId="92" fillId="0" borderId="67" xfId="0" applyFont="1" applyBorder="1" applyAlignment="1">
      <alignment horizontal="center" vertical="center" wrapText="1"/>
    </xf>
    <xf numFmtId="0" fontId="0" fillId="0" borderId="68" xfId="0" applyBorder="1" applyAlignment="1">
      <alignment horizontal="center" vertical="center" wrapText="1"/>
    </xf>
    <xf numFmtId="0" fontId="0" fillId="0" borderId="82" xfId="0" applyBorder="1" applyAlignment="1">
      <alignment horizontal="left" vertical="top" wrapText="1"/>
    </xf>
    <xf numFmtId="0" fontId="0" fillId="0" borderId="84" xfId="0" applyBorder="1" applyAlignment="1">
      <alignment horizontal="left" vertical="top" wrapText="1"/>
    </xf>
    <xf numFmtId="0" fontId="109" fillId="44" borderId="82" xfId="0" applyFont="1" applyFill="1" applyBorder="1" applyAlignment="1">
      <alignment horizontal="center" vertical="top" wrapText="1"/>
    </xf>
    <xf numFmtId="0" fontId="109" fillId="44" borderId="83" xfId="0" applyFont="1" applyFill="1" applyBorder="1" applyAlignment="1">
      <alignment horizontal="center" vertical="top" wrapText="1"/>
    </xf>
    <xf numFmtId="0" fontId="109" fillId="44" borderId="84" xfId="0" applyFont="1" applyFill="1" applyBorder="1" applyAlignment="1">
      <alignment horizontal="center" vertical="top" wrapText="1"/>
    </xf>
    <xf numFmtId="0" fontId="0" fillId="0" borderId="86" xfId="0" applyBorder="1" applyAlignment="1">
      <alignment horizontal="left" vertical="top" wrapText="1"/>
    </xf>
    <xf numFmtId="0" fontId="0" fillId="0" borderId="100" xfId="0" applyBorder="1" applyAlignment="1">
      <alignment horizontal="left" vertical="top" wrapText="1"/>
    </xf>
    <xf numFmtId="0" fontId="0" fillId="0" borderId="87" xfId="0" applyBorder="1" applyAlignment="1">
      <alignment horizontal="left" vertical="top" wrapText="1"/>
    </xf>
    <xf numFmtId="0" fontId="0" fillId="0" borderId="101" xfId="0" applyBorder="1" applyAlignment="1">
      <alignment horizontal="left" vertical="top" wrapText="1"/>
    </xf>
    <xf numFmtId="0" fontId="0" fillId="0" borderId="102" xfId="0" applyBorder="1" applyAlignment="1">
      <alignment horizontal="left" vertical="top" wrapText="1"/>
    </xf>
    <xf numFmtId="0" fontId="0" fillId="0" borderId="103" xfId="0" applyBorder="1" applyAlignment="1">
      <alignment horizontal="left" vertical="top" wrapText="1"/>
    </xf>
    <xf numFmtId="0" fontId="109" fillId="44" borderId="105" xfId="0" applyFont="1" applyFill="1" applyBorder="1" applyAlignment="1">
      <alignment horizontal="center" vertical="top" wrapText="1"/>
    </xf>
    <xf numFmtId="0" fontId="109" fillId="44" borderId="106" xfId="0" applyFont="1" applyFill="1" applyBorder="1" applyAlignment="1">
      <alignment horizontal="center" vertical="top" wrapText="1"/>
    </xf>
    <xf numFmtId="0" fontId="109" fillId="44" borderId="107" xfId="0" applyFont="1" applyFill="1" applyBorder="1" applyAlignment="1">
      <alignment horizontal="center" vertical="top" wrapText="1"/>
    </xf>
    <xf numFmtId="0" fontId="109" fillId="0" borderId="82" xfId="0" applyFont="1" applyBorder="1" applyAlignment="1">
      <alignment horizontal="left" vertical="top" wrapText="1" indent="4"/>
    </xf>
    <xf numFmtId="0" fontId="109" fillId="0" borderId="84" xfId="0" applyFont="1" applyBorder="1" applyAlignment="1">
      <alignment horizontal="left" vertical="top" wrapText="1" indent="4"/>
    </xf>
    <xf numFmtId="0" fontId="109" fillId="44" borderId="88" xfId="0" applyFont="1" applyFill="1" applyBorder="1" applyAlignment="1">
      <alignment horizontal="center" vertical="top" wrapText="1"/>
    </xf>
    <xf numFmtId="0" fontId="109" fillId="44" borderId="92" xfId="0" applyFont="1" applyFill="1" applyBorder="1" applyAlignment="1">
      <alignment horizontal="center" vertical="top" wrapText="1"/>
    </xf>
    <xf numFmtId="0" fontId="109" fillId="44" borderId="89" xfId="0" applyFont="1" applyFill="1" applyBorder="1" applyAlignment="1">
      <alignment horizontal="center" vertical="top"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0">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58595B"/>
      <color rgb="FFFFB612"/>
      <color rgb="FF0B3040"/>
      <color rgb="FF12919C"/>
      <color rgb="FFFC7D20"/>
      <color rgb="FF0E2841"/>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395638</xdr:colOff>
      <xdr:row>3</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3</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1158875</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W1"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ht="49.5" customHeight="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75" t="s">
        <v>203</v>
      </c>
      <c r="P1" s="475" t="s">
        <v>43</v>
      </c>
      <c r="Q1" s="92" t="s">
        <v>204</v>
      </c>
      <c r="R1" s="93" t="s">
        <v>66</v>
      </c>
      <c r="S1" s="93" t="s">
        <v>69</v>
      </c>
      <c r="T1" s="92" t="s">
        <v>62</v>
      </c>
      <c r="U1" s="94"/>
      <c r="V1" s="95" t="s">
        <v>205</v>
      </c>
      <c r="W1" s="96"/>
      <c r="X1" s="97" t="str" cm="1">
        <f t="array" ref="X1">IF(AND(OR('NonQM (RT)'!U11=B9:B11),OR('NonQM (RT)'!U23=L4:L6)),V4,V3)</f>
        <v>Not Applicable</v>
      </c>
      <c r="Y1" s="607" t="s">
        <v>935</v>
      </c>
      <c r="Z1" s="451" t="b" cm="1">
        <f t="array" ref="Z1">IF(AND(OR('NonQM (RT)'!U25=M8:M9,M11:M12),OR('NonQM (RT)'!U17='Feed(WS)'!D3:D4)),0.25,IF(AND(OR('NonQM (RT)'!U25=M7),OR('NonQM (RT)'!U17='Feed(WS)'!D3:D4)),0.5,IF(AND(OR('NonQM (RT)'!U27=H7:H9,'NonQM (RT)'!U27=H12:H14),OR('NonQM (RT)'!U17='Feed(WS)'!D3:D4)),0.25)))</f>
        <v>0</v>
      </c>
      <c r="AA1" s="103" t="s">
        <v>936</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76" t="s">
        <v>31</v>
      </c>
      <c r="P2" s="476"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76" t="s">
        <v>215</v>
      </c>
      <c r="P3" s="476"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76"/>
      <c r="P4" s="476"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7" t="s">
        <v>179</v>
      </c>
      <c r="D5" s="367" t="s">
        <v>176</v>
      </c>
      <c r="E5" s="102" t="s">
        <v>57</v>
      </c>
      <c r="F5" s="99" t="s">
        <v>228</v>
      </c>
      <c r="G5" s="99" t="s">
        <v>775</v>
      </c>
      <c r="H5" s="99" t="s">
        <v>112</v>
      </c>
      <c r="I5" s="99"/>
      <c r="J5" t="s">
        <v>75</v>
      </c>
      <c r="K5" s="99" t="s">
        <v>100</v>
      </c>
      <c r="L5" s="99" t="s">
        <v>229</v>
      </c>
      <c r="M5" s="99" t="s">
        <v>230</v>
      </c>
      <c r="N5" s="99" t="s">
        <v>106</v>
      </c>
      <c r="O5" s="476"/>
      <c r="P5" s="476" t="s">
        <v>231</v>
      </c>
      <c r="Q5" s="99" t="s">
        <v>232</v>
      </c>
      <c r="R5" s="108" t="s">
        <v>233</v>
      </c>
      <c r="S5" s="106"/>
      <c r="T5" s="99" t="s">
        <v>827</v>
      </c>
      <c r="U5" s="109"/>
      <c r="V5" s="110"/>
      <c r="W5" s="96"/>
      <c r="X5" s="107"/>
      <c r="Y5" s="103" t="s">
        <v>225</v>
      </c>
      <c r="Z5" s="96"/>
      <c r="AA5" s="96"/>
      <c r="AB5"/>
      <c r="AC5" s="101" t="s">
        <v>227</v>
      </c>
      <c r="AD5"/>
      <c r="AE5"/>
    </row>
    <row r="6" spans="1:31" x14ac:dyDescent="0.25">
      <c r="A6" s="99" t="s">
        <v>29</v>
      </c>
      <c r="B6" s="99" t="s">
        <v>15</v>
      </c>
      <c r="C6" s="367" t="s">
        <v>235</v>
      </c>
      <c r="E6" s="102" t="s">
        <v>54</v>
      </c>
      <c r="F6" s="367" t="s">
        <v>236</v>
      </c>
      <c r="G6" s="99" t="s">
        <v>776</v>
      </c>
      <c r="H6" s="99" t="s">
        <v>116</v>
      </c>
      <c r="I6" s="99"/>
      <c r="J6" t="s">
        <v>72</v>
      </c>
      <c r="K6" s="99" t="s">
        <v>237</v>
      </c>
      <c r="L6" s="99" t="s">
        <v>238</v>
      </c>
      <c r="M6" s="99" t="s">
        <v>239</v>
      </c>
      <c r="N6" s="99"/>
      <c r="O6" s="476"/>
      <c r="P6" s="476" t="s">
        <v>157</v>
      </c>
      <c r="Q6" s="99"/>
      <c r="R6" s="99"/>
      <c r="S6" s="106"/>
      <c r="T6" s="99" t="s">
        <v>234</v>
      </c>
      <c r="U6"/>
      <c r="W6"/>
      <c r="X6"/>
      <c r="Y6"/>
      <c r="AA6"/>
      <c r="AB6"/>
      <c r="AC6" s="101" t="s">
        <v>227</v>
      </c>
      <c r="AD6"/>
      <c r="AE6"/>
    </row>
    <row r="7" spans="1:31" x14ac:dyDescent="0.25">
      <c r="A7" s="99" t="s">
        <v>32</v>
      </c>
      <c r="B7" s="99" t="s">
        <v>16</v>
      </c>
      <c r="C7" s="367" t="s">
        <v>241</v>
      </c>
      <c r="D7" s="99"/>
      <c r="E7" s="102" t="s">
        <v>61</v>
      </c>
      <c r="G7" s="99" t="s">
        <v>86</v>
      </c>
      <c r="H7" s="111" t="s">
        <v>121</v>
      </c>
      <c r="I7" s="99"/>
      <c r="J7" t="s">
        <v>76</v>
      </c>
      <c r="K7" s="89" t="s">
        <v>242</v>
      </c>
      <c r="L7" s="99"/>
      <c r="M7" s="99" t="s">
        <v>140</v>
      </c>
      <c r="N7" s="99"/>
      <c r="O7" s="476"/>
      <c r="P7" s="476" t="s">
        <v>204</v>
      </c>
      <c r="Q7" s="99"/>
      <c r="R7" s="92"/>
      <c r="S7"/>
      <c r="T7" s="99" t="s">
        <v>251</v>
      </c>
      <c r="U7" s="99"/>
      <c r="W7"/>
      <c r="X7" t="s">
        <v>245</v>
      </c>
      <c r="Y7"/>
      <c r="Z7" s="1057" t="s">
        <v>950</v>
      </c>
      <c r="AA7"/>
      <c r="AB7"/>
      <c r="AC7" s="101" t="s">
        <v>227</v>
      </c>
      <c r="AD7"/>
      <c r="AE7"/>
    </row>
    <row r="8" spans="1:31" x14ac:dyDescent="0.25">
      <c r="A8" s="99" t="s">
        <v>35</v>
      </c>
      <c r="B8" s="99" t="s">
        <v>17</v>
      </c>
      <c r="C8" s="367" t="s">
        <v>182</v>
      </c>
      <c r="D8" s="99"/>
      <c r="E8" s="99" t="s">
        <v>63</v>
      </c>
      <c r="G8" s="99" t="s">
        <v>87</v>
      </c>
      <c r="H8" s="111" t="s">
        <v>125</v>
      </c>
      <c r="I8" s="99"/>
      <c r="J8" s="99"/>
      <c r="K8" s="99" t="s">
        <v>98</v>
      </c>
      <c r="L8" s="99"/>
      <c r="M8" s="99" t="s">
        <v>142</v>
      </c>
      <c r="N8" s="99"/>
      <c r="O8" s="476"/>
      <c r="P8" s="476"/>
      <c r="Q8" s="99"/>
      <c r="R8" s="99"/>
      <c r="S8"/>
      <c r="T8" s="99" t="s">
        <v>187</v>
      </c>
      <c r="U8" s="99"/>
      <c r="V8"/>
      <c r="W8"/>
      <c r="X8" t="s">
        <v>247</v>
      </c>
      <c r="Y8"/>
      <c r="Z8" s="1057" t="s">
        <v>951</v>
      </c>
      <c r="AA8"/>
      <c r="AB8"/>
      <c r="AC8" s="101" t="s">
        <v>227</v>
      </c>
      <c r="AD8"/>
      <c r="AE8"/>
    </row>
    <row r="9" spans="1:31" x14ac:dyDescent="0.25">
      <c r="A9" s="99" t="s">
        <v>38</v>
      </c>
      <c r="B9" s="99" t="s">
        <v>18</v>
      </c>
      <c r="C9" s="363" t="s">
        <v>183</v>
      </c>
      <c r="D9" s="99"/>
      <c r="E9" s="89" t="s">
        <v>737</v>
      </c>
      <c r="F9" s="99"/>
      <c r="G9" s="99" t="s">
        <v>89</v>
      </c>
      <c r="H9" s="99" t="s">
        <v>129</v>
      </c>
      <c r="I9" s="99"/>
      <c r="J9" s="99"/>
      <c r="K9" s="99" t="s">
        <v>248</v>
      </c>
      <c r="L9" s="99"/>
      <c r="M9" s="99" t="s">
        <v>249</v>
      </c>
      <c r="N9" s="99"/>
      <c r="O9" s="476"/>
      <c r="P9" s="476"/>
      <c r="Q9" s="99"/>
      <c r="R9" s="99"/>
      <c r="S9"/>
      <c r="T9" s="99" t="s">
        <v>188</v>
      </c>
      <c r="U9" s="99"/>
      <c r="V9"/>
      <c r="W9"/>
      <c r="X9"/>
      <c r="Y9"/>
      <c r="Z9"/>
      <c r="AA9"/>
      <c r="AB9"/>
      <c r="AC9" s="101" t="s">
        <v>227</v>
      </c>
      <c r="AD9"/>
      <c r="AE9"/>
    </row>
    <row r="10" spans="1:31" x14ac:dyDescent="0.25">
      <c r="A10" s="99" t="s">
        <v>40</v>
      </c>
      <c r="B10" s="99" t="s">
        <v>19</v>
      </c>
      <c r="C10" s="363" t="s">
        <v>184</v>
      </c>
      <c r="D10" s="106"/>
      <c r="E10" s="102" t="s">
        <v>186</v>
      </c>
      <c r="F10" s="99"/>
      <c r="G10" s="99" t="s">
        <v>90</v>
      </c>
      <c r="H10" s="99" t="s">
        <v>131</v>
      </c>
      <c r="I10" s="99"/>
      <c r="J10" s="99"/>
      <c r="K10" s="89" t="s">
        <v>819</v>
      </c>
      <c r="L10" s="99"/>
      <c r="M10" s="99" t="s">
        <v>144</v>
      </c>
      <c r="N10" s="99" t="s">
        <v>111</v>
      </c>
      <c r="O10" s="476"/>
      <c r="P10" s="476"/>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t="s">
        <v>243</v>
      </c>
      <c r="O11" s="476"/>
      <c r="P11" s="476"/>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76"/>
      <c r="P12" s="476"/>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76"/>
      <c r="P13" s="476"/>
      <c r="Q13" s="99"/>
      <c r="R13" s="99"/>
      <c r="S13" s="106"/>
      <c r="T13" s="99" t="s">
        <v>250</v>
      </c>
      <c r="U13"/>
      <c r="V13"/>
      <c r="W13"/>
      <c r="X13"/>
      <c r="Y13"/>
      <c r="Z13"/>
      <c r="AA13"/>
      <c r="AB13"/>
      <c r="AC13" s="101" t="s">
        <v>227</v>
      </c>
    </row>
    <row r="14" spans="1:31" x14ac:dyDescent="0.25">
      <c r="C14" s="99" t="s">
        <v>31</v>
      </c>
      <c r="D14" s="99" t="s">
        <v>31</v>
      </c>
      <c r="E14" s="99" t="s">
        <v>31</v>
      </c>
      <c r="G14" s="398"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3"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399"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399"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99"/>
      <c r="AA21" s="114"/>
      <c r="AB21" s="114"/>
    </row>
    <row r="22" spans="1:29" x14ac:dyDescent="0.25">
      <c r="E22"/>
      <c r="F22"/>
      <c r="G22"/>
      <c r="I22"/>
      <c r="J22"/>
      <c r="N22"/>
      <c r="S22"/>
      <c r="U22"/>
      <c r="V22"/>
      <c r="W22"/>
      <c r="X22"/>
      <c r="Y22"/>
      <c r="Z22" s="99"/>
      <c r="AA22"/>
      <c r="AB22"/>
      <c r="AC22" s="101" t="s">
        <v>227</v>
      </c>
    </row>
    <row r="23" spans="1:29" x14ac:dyDescent="0.25">
      <c r="E23"/>
      <c r="F23"/>
      <c r="G23"/>
      <c r="J23"/>
      <c r="S23"/>
      <c r="U23"/>
      <c r="V23"/>
      <c r="W23"/>
      <c r="X23"/>
      <c r="Y23"/>
      <c r="Z23" s="99"/>
      <c r="AA23"/>
      <c r="AB23"/>
      <c r="AC23" s="101" t="s">
        <v>227</v>
      </c>
    </row>
    <row r="24" spans="1:29" x14ac:dyDescent="0.25">
      <c r="E24"/>
      <c r="F24"/>
      <c r="G24"/>
      <c r="J24"/>
      <c r="S24"/>
      <c r="U24"/>
      <c r="V24"/>
      <c r="W24"/>
      <c r="X24"/>
      <c r="Y24"/>
      <c r="Z24" s="99"/>
      <c r="AA24"/>
      <c r="AB24"/>
      <c r="AC24" s="101" t="s">
        <v>227</v>
      </c>
    </row>
    <row r="25" spans="1:29" x14ac:dyDescent="0.25">
      <c r="E25"/>
      <c r="F25"/>
      <c r="G25"/>
      <c r="J25"/>
      <c r="P25" s="477"/>
      <c r="S25"/>
      <c r="U25"/>
      <c r="V25"/>
      <c r="W25"/>
      <c r="X25"/>
      <c r="Y25"/>
      <c r="Z25" s="99"/>
      <c r="AA25"/>
      <c r="AB25"/>
      <c r="AC25" s="101" t="s">
        <v>227</v>
      </c>
    </row>
    <row r="26" spans="1:29" x14ac:dyDescent="0.25">
      <c r="E26"/>
      <c r="F26"/>
      <c r="G26"/>
      <c r="J26"/>
      <c r="S26"/>
      <c r="U26"/>
      <c r="V26"/>
      <c r="W26"/>
      <c r="X26"/>
      <c r="Y26"/>
      <c r="Z26" s="99"/>
      <c r="AA26"/>
      <c r="AB26"/>
      <c r="AC26" s="101" t="s">
        <v>227</v>
      </c>
    </row>
    <row r="27" spans="1:29" x14ac:dyDescent="0.25">
      <c r="E27"/>
      <c r="F27"/>
      <c r="G27"/>
      <c r="I27" s="117"/>
      <c r="S27"/>
      <c r="U27"/>
      <c r="V27"/>
      <c r="W27"/>
      <c r="X27"/>
      <c r="Y27"/>
      <c r="Z27" s="99"/>
      <c r="AA27"/>
      <c r="AB27"/>
      <c r="AC27" s="101" t="s">
        <v>227</v>
      </c>
    </row>
    <row r="28" spans="1:29" x14ac:dyDescent="0.25">
      <c r="E28"/>
      <c r="F28"/>
      <c r="G28"/>
      <c r="H28"/>
      <c r="S28"/>
      <c r="U28"/>
      <c r="V28"/>
      <c r="W28"/>
      <c r="X28"/>
      <c r="Y28"/>
      <c r="Z28" s="99"/>
      <c r="AA28"/>
      <c r="AB28"/>
      <c r="AC28" s="101" t="s">
        <v>227</v>
      </c>
    </row>
    <row r="29" spans="1:29" x14ac:dyDescent="0.25">
      <c r="A29" s="92" t="s">
        <v>265</v>
      </c>
      <c r="B29" s="99"/>
      <c r="F29"/>
      <c r="G29"/>
      <c r="H29"/>
      <c r="S29"/>
      <c r="U29"/>
      <c r="V29"/>
      <c r="W29"/>
      <c r="X29"/>
      <c r="Y29"/>
      <c r="Z29" s="99"/>
      <c r="AA29"/>
      <c r="AB29"/>
      <c r="AC29" s="101" t="s">
        <v>227</v>
      </c>
    </row>
    <row r="30" spans="1:29" x14ac:dyDescent="0.25">
      <c r="A30" s="99" t="s">
        <v>266</v>
      </c>
      <c r="B30" s="99" t="b" cm="1">
        <f t="array" ref="B30">IF(AND(OR('NonQM (RT)'!U11='Feed(WS)'!B6:B11),'NonQM (RT)'!U13="No Ratio (0.75-0.99)"),TRUE,FALSE)</f>
        <v>0</v>
      </c>
      <c r="F30"/>
      <c r="G30"/>
      <c r="H30"/>
      <c r="S30"/>
      <c r="U30"/>
      <c r="V30" s="1057" t="s">
        <v>952</v>
      </c>
      <c r="W30"/>
      <c r="X30"/>
      <c r="Y30"/>
      <c r="Z30" s="99"/>
      <c r="AA30"/>
      <c r="AB30"/>
      <c r="AC30" s="101" t="s">
        <v>227</v>
      </c>
    </row>
    <row r="31" spans="1:29" x14ac:dyDescent="0.25">
      <c r="A31" s="99"/>
      <c r="B31" s="99"/>
      <c r="S31"/>
      <c r="U31"/>
      <c r="V31" s="1057" t="s">
        <v>953</v>
      </c>
      <c r="W31"/>
      <c r="X31"/>
      <c r="Y31"/>
      <c r="Z31" s="99"/>
      <c r="AA31"/>
      <c r="AB31"/>
      <c r="AC31" s="101" t="s">
        <v>227</v>
      </c>
    </row>
    <row r="32" spans="1:29" x14ac:dyDescent="0.25">
      <c r="A32" s="99"/>
      <c r="B32" s="99"/>
      <c r="S32"/>
      <c r="U32"/>
      <c r="V32" s="1057" t="s">
        <v>953</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77"/>
      <c r="P35" s="477"/>
      <c r="Q35"/>
      <c r="R35"/>
      <c r="S35"/>
      <c r="T35"/>
      <c r="U35"/>
      <c r="V35"/>
      <c r="W35"/>
      <c r="X35"/>
      <c r="Y35"/>
      <c r="Z35"/>
      <c r="AA35"/>
      <c r="AB35"/>
      <c r="AC35" s="101" t="s">
        <v>227</v>
      </c>
    </row>
    <row r="36" spans="1:42" x14ac:dyDescent="0.25">
      <c r="L36"/>
      <c r="O36" s="477"/>
      <c r="P36" s="477"/>
      <c r="Q36"/>
      <c r="R36"/>
      <c r="S36"/>
      <c r="T36"/>
      <c r="U36" s="119" t="s">
        <v>267</v>
      </c>
      <c r="V36"/>
      <c r="W36"/>
      <c r="X36"/>
      <c r="Y36" s="119" t="s">
        <v>268</v>
      </c>
      <c r="Z36"/>
      <c r="AA36"/>
      <c r="AB36"/>
    </row>
    <row r="37" spans="1:42" x14ac:dyDescent="0.25">
      <c r="F37" s="119" t="s">
        <v>269</v>
      </c>
      <c r="L37" s="119" t="s">
        <v>270</v>
      </c>
      <c r="O37" s="477"/>
      <c r="P37" s="477"/>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77"/>
      <c r="P38" s="477"/>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39" t="str">
        <f>IF(AND(
   ISNUMBER(MATCH('NonQM (RT)'!$U$12, $C$3:$C$9, 0)),
   'NonQM (RT)'!$U$29 = $T$15), NA(), "")</f>
        <v/>
      </c>
      <c r="AI38" t="s">
        <v>287</v>
      </c>
      <c r="AJ38"/>
      <c r="AK38" t="s">
        <v>288</v>
      </c>
      <c r="AL38" s="339"/>
      <c r="AM38" t="s">
        <v>289</v>
      </c>
      <c r="AN38"/>
      <c r="AO38" s="101" t="s">
        <v>227</v>
      </c>
      <c r="AP38" s="101"/>
    </row>
    <row r="39" spans="1:42" x14ac:dyDescent="0.25">
      <c r="A39" s="110" t="s">
        <v>157</v>
      </c>
      <c r="B39" s="558" t="str">
        <f>IF(AND('NonQM (RT)'!U19='Feed(WS)'!P6,'NonQM (RT)'!U11=B11),NA(),"")</f>
        <v/>
      </c>
      <c r="C39" s="99" t="s">
        <v>290</v>
      </c>
      <c r="D39" s="99"/>
      <c r="F39" s="89" t="s">
        <v>291</v>
      </c>
      <c r="G39" s="150" t="str" cm="1">
        <f t="array" ref="G39">IF(AND(OR('NonQM (RT)'!U14=C15:C16),'NonQM (RT)'!U13=C3),NA(),"")</f>
        <v/>
      </c>
      <c r="H39" s="89" t="s">
        <v>292</v>
      </c>
      <c r="L39" s="89" t="s">
        <v>280</v>
      </c>
      <c r="M39" s="150"/>
      <c r="N39" s="89" t="s">
        <v>293</v>
      </c>
      <c r="O39" s="477"/>
      <c r="P39" s="477"/>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39"/>
      <c r="AI39" t="s">
        <v>298</v>
      </c>
      <c r="AJ39"/>
      <c r="AK39" t="s">
        <v>299</v>
      </c>
      <c r="AL39" s="339"/>
      <c r="AM39" t="s">
        <v>300</v>
      </c>
      <c r="AN39"/>
      <c r="AO39" s="101" t="s">
        <v>227</v>
      </c>
      <c r="AP39" s="101"/>
    </row>
    <row r="40" spans="1:42" x14ac:dyDescent="0.25">
      <c r="A40" s="110" t="s">
        <v>157</v>
      </c>
      <c r="B40" s="558"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558"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76"/>
      <c r="P41" s="476"/>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558"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76"/>
      <c r="P42" s="476"/>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558"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76"/>
      <c r="P43" s="476"/>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559" t="str" cm="1">
        <f t="array" ref="B44">IF(AND(OR('NonQM (RT)'!U29=T12:T13,'NonQM (RT)'!U29=T7,'NonQM (RT)'!U29=T15,'NonQM (RT)'!U29=T3),OR('NonQM (RT)'!U27=H4:H10),OR('NonQM (RT)'!U23=L5:L6)),NA(),"")</f>
        <v/>
      </c>
      <c r="C44" s="89" t="s">
        <v>328</v>
      </c>
      <c r="D44" s="99"/>
      <c r="F44" s="89" t="s">
        <v>280</v>
      </c>
      <c r="G44" s="150" t="str">
        <f>IF(AND(OR('NonQM (RT)'!U24=K8),'NonQM (RT)'!U13=C3),NA(),"")</f>
        <v/>
      </c>
      <c r="H44" s="89" t="s">
        <v>329</v>
      </c>
      <c r="J44" s="99"/>
      <c r="K44" s="99"/>
      <c r="L44" s="99" t="s">
        <v>330</v>
      </c>
      <c r="M44" s="150"/>
      <c r="N44" s="89" t="s">
        <v>331</v>
      </c>
      <c r="O44" s="476"/>
      <c r="P44" s="476"/>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559"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76"/>
      <c r="P45" s="476"/>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558"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76"/>
      <c r="P46" s="476"/>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559" t="str">
        <f>IF('NonQM (RT)'!U21=G13,NA(),"")</f>
        <v/>
      </c>
      <c r="D47" s="99"/>
      <c r="F47" s="89" t="s">
        <v>280</v>
      </c>
      <c r="G47" s="150" t="str" cm="1">
        <f t="array" ref="G47">IF(AND(OR('NonQM (RT)'!U24=K7),OR('NonQM (RT)'!U11=B9:B11)),NA(),"")</f>
        <v/>
      </c>
      <c r="H47" s="89" t="s">
        <v>348</v>
      </c>
      <c r="I47" s="99"/>
      <c r="J47" s="99"/>
      <c r="K47" s="99"/>
      <c r="L47" s="89" t="s">
        <v>349</v>
      </c>
      <c r="M47" s="150"/>
      <c r="N47" s="89" t="s">
        <v>350</v>
      </c>
      <c r="O47" s="476"/>
      <c r="P47" s="476"/>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39"/>
      <c r="AI47" s="101"/>
      <c r="AJ47" s="101"/>
      <c r="AK47" s="101"/>
      <c r="AL47"/>
      <c r="AM47"/>
      <c r="AN47"/>
      <c r="AO47" s="101" t="s">
        <v>227</v>
      </c>
      <c r="AP47" s="101"/>
    </row>
    <row r="48" spans="1:42" x14ac:dyDescent="0.25">
      <c r="A48" s="110" t="s">
        <v>354</v>
      </c>
      <c r="B48" s="558"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76"/>
      <c r="P48" s="476"/>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39"/>
      <c r="AI48" t="s">
        <v>362</v>
      </c>
      <c r="AJ48"/>
      <c r="AK48"/>
      <c r="AL48"/>
      <c r="AM48"/>
      <c r="AN48"/>
      <c r="AO48" s="101" t="s">
        <v>227</v>
      </c>
      <c r="AP48" s="101"/>
    </row>
    <row r="49" spans="1:42" x14ac:dyDescent="0.25">
      <c r="A49" s="110" t="s">
        <v>363</v>
      </c>
      <c r="B49" s="592" t="s">
        <v>364</v>
      </c>
      <c r="C49" s="99" t="s">
        <v>365</v>
      </c>
      <c r="D49" s="99"/>
      <c r="F49" s="89" t="s">
        <v>366</v>
      </c>
      <c r="G49" s="150" t="str" cm="1">
        <f t="array" ref="G49">IF(AND('NonQM (RT)'!U13=C3,OR('NonQM (RT)'!U11=B9:B11),OR('NonQM (RT)'!U22=J6:J7)),NA(),"")</f>
        <v/>
      </c>
      <c r="H49" s="89" t="s">
        <v>367</v>
      </c>
      <c r="I49" s="99"/>
      <c r="J49" s="99"/>
      <c r="L49" s="89" t="s">
        <v>368</v>
      </c>
      <c r="M49" s="150"/>
      <c r="N49" s="89" t="s">
        <v>369</v>
      </c>
      <c r="O49" s="476"/>
      <c r="P49" s="476"/>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39"/>
      <c r="AI49" t="s">
        <v>374</v>
      </c>
      <c r="AJ49"/>
      <c r="AK49"/>
      <c r="AL49"/>
      <c r="AM49"/>
      <c r="AN49"/>
      <c r="AO49" s="101" t="s">
        <v>227</v>
      </c>
      <c r="AP49" s="101"/>
    </row>
    <row r="50" spans="1:42" x14ac:dyDescent="0.25">
      <c r="A50" s="110" t="s">
        <v>375</v>
      </c>
      <c r="B50" s="558"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76"/>
      <c r="P50" s="476"/>
      <c r="Q50" s="99" t="s">
        <v>282</v>
      </c>
      <c r="R50" s="150" t="str">
        <f>IF(AND(ISNUMBER(MATCH('NonQM (RT)'!U11, B8:B11, 0)),ISNUMBER(MATCH('NonQM (RT)'!U21, G13, 0)),ISNUMBER(MATCH('NonQM (RT)'!U12, A3:A6, 0)),'NonQM (RT)'!U13 = C4),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592"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76"/>
      <c r="P51" s="476"/>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39"/>
      <c r="AI51" t="s">
        <v>395</v>
      </c>
      <c r="AJ51"/>
      <c r="AK51"/>
      <c r="AL51"/>
      <c r="AM51"/>
      <c r="AN51"/>
      <c r="AO51" s="101" t="s">
        <v>227</v>
      </c>
      <c r="AP51" s="101"/>
    </row>
    <row r="52" spans="1:42" x14ac:dyDescent="0.25">
      <c r="A52" s="110" t="s">
        <v>396</v>
      </c>
      <c r="B52" s="558"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76"/>
      <c r="P52" s="476"/>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39"/>
      <c r="AI52" t="s">
        <v>406</v>
      </c>
      <c r="AJ52"/>
      <c r="AK52"/>
      <c r="AL52"/>
      <c r="AM52"/>
      <c r="AN52"/>
      <c r="AO52" s="101" t="s">
        <v>227</v>
      </c>
      <c r="AP52" s="101"/>
    </row>
    <row r="53" spans="1:42" x14ac:dyDescent="0.25">
      <c r="A53" s="123" t="s">
        <v>407</v>
      </c>
      <c r="B53" s="558"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39"/>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39"/>
      <c r="AI53" t="s">
        <v>416</v>
      </c>
      <c r="AJ53"/>
      <c r="AK53"/>
      <c r="AL53"/>
      <c r="AM53"/>
      <c r="AN53"/>
      <c r="AO53" s="101" t="s">
        <v>227</v>
      </c>
      <c r="AP53" s="101"/>
    </row>
    <row r="54" spans="1:42" x14ac:dyDescent="0.25">
      <c r="A54" s="123" t="s">
        <v>417</v>
      </c>
      <c r="B54" s="592"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39"/>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559"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39"/>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559" t="str">
        <f>IF(AND(OR('NonQM (RT)'!U11=B11),OR('NonQM (RT)'!U24=K4)),NA(),"")</f>
        <v/>
      </c>
      <c r="C56" s="89" t="s">
        <v>435</v>
      </c>
      <c r="D56" s="99"/>
      <c r="F56" s="89" t="s">
        <v>398</v>
      </c>
      <c r="G56" s="150" t="str" cm="1">
        <f t="array" ref="G56">IF(AND('NonQM (RT)'!U12=A7,OR('NonQM (RT)'!U21=G4:G13),OR('NonQM (RT)'!U11=B11),'NonQM (RT)'!U13=C3),NA(),"")</f>
        <v/>
      </c>
      <c r="H56" s="89" t="s">
        <v>436</v>
      </c>
      <c r="K56"/>
      <c r="L56" t="s">
        <v>437</v>
      </c>
      <c r="M56" s="339"/>
      <c r="N56" t="s">
        <v>438</v>
      </c>
      <c r="Q56" s="99" t="s">
        <v>310</v>
      </c>
      <c r="R56" s="339"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82" t="s">
        <v>63</v>
      </c>
      <c r="AH56" s="583"/>
      <c r="AI56" s="583"/>
      <c r="AJ56"/>
      <c r="AK56"/>
      <c r="AL56"/>
      <c r="AM56"/>
      <c r="AN56"/>
      <c r="AO56" s="101" t="s">
        <v>227</v>
      </c>
      <c r="AP56" s="101"/>
    </row>
    <row r="57" spans="1:42" x14ac:dyDescent="0.25">
      <c r="A57" s="123" t="s">
        <v>442</v>
      </c>
      <c r="B57" s="559"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39"/>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39"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559"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39"/>
      <c r="N58" t="s">
        <v>456</v>
      </c>
      <c r="O58" s="477"/>
      <c r="P58" s="477"/>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39"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558"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39"/>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39"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558"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39"/>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39" t="str">
        <f>IF(AND(
   ISNUMBER(MATCH('NonQM (RT)'!$U$16, $E$15:$E$16, 0)),
   'NonQM (RT)'!$U$13 = $C$4,
   'NonQM (RT)'!$U$18 = $E$8
), NA(), "")</f>
        <v/>
      </c>
      <c r="AI60" t="s">
        <v>478</v>
      </c>
      <c r="AJ60"/>
      <c r="AK60"/>
      <c r="AL60"/>
      <c r="AM60"/>
      <c r="AN60"/>
      <c r="AO60" s="101" t="s">
        <v>227</v>
      </c>
      <c r="AP60" s="101"/>
    </row>
    <row r="61" spans="1:42" x14ac:dyDescent="0.25">
      <c r="A61" s="96" t="s">
        <v>176</v>
      </c>
      <c r="B61" s="558"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39"/>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39" t="str">
        <f>IF(AND(
   ISNUMBER(MATCH('NonQM (RT)'!$U$15, $D$18:$D$19, 0)),
   'NonQM (RT)'!$U$13 = $C$4,
   'NonQM (RT)'!$U$18 = $E$8
), NA(), "")</f>
        <v/>
      </c>
      <c r="AI61" t="s">
        <v>487</v>
      </c>
      <c r="AJ61"/>
      <c r="AK61"/>
      <c r="AL61"/>
      <c r="AM61"/>
      <c r="AN61"/>
      <c r="AO61" s="101" t="s">
        <v>227</v>
      </c>
      <c r="AP61" s="101"/>
    </row>
    <row r="62" spans="1:42" x14ac:dyDescent="0.25">
      <c r="A62" s="98" t="s">
        <v>488</v>
      </c>
      <c r="B62" s="559"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559"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559"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560"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82" t="s">
        <v>521</v>
      </c>
      <c r="AH65" s="583"/>
      <c r="AI65" s="583"/>
      <c r="AJ65"/>
      <c r="AK65"/>
      <c r="AL65"/>
      <c r="AM65"/>
      <c r="AN65"/>
      <c r="AO65" s="101"/>
      <c r="AP65" s="101"/>
    </row>
    <row r="66" spans="1:42" x14ac:dyDescent="0.25">
      <c r="A66" s="98" t="s">
        <v>522</v>
      </c>
      <c r="B66" s="559"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39"/>
      <c r="AI66" t="s">
        <v>530</v>
      </c>
      <c r="AJ66"/>
      <c r="AK66"/>
      <c r="AL66"/>
      <c r="AM66"/>
      <c r="AN66"/>
      <c r="AO66" s="101"/>
      <c r="AP66" s="101"/>
    </row>
    <row r="67" spans="1:42" x14ac:dyDescent="0.25">
      <c r="A67" s="125" t="s">
        <v>531</v>
      </c>
      <c r="B67" s="561">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818</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702" t="s">
        <v>618</v>
      </c>
      <c r="C80" s="703"/>
      <c r="D80" s="703"/>
      <c r="E80" s="703"/>
      <c r="F80"/>
      <c r="I80" s="692" t="s">
        <v>618</v>
      </c>
      <c r="J80" s="693"/>
      <c r="K80" s="693"/>
      <c r="L80" s="694"/>
      <c r="Q80" s="89" t="s">
        <v>623</v>
      </c>
      <c r="AG80" s="89" t="s">
        <v>619</v>
      </c>
      <c r="AH80" s="421"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6.375</v>
      </c>
      <c r="C82" s="137">
        <f>'NonQM (RT)'!C11</f>
        <v>96.225500000000011</v>
      </c>
      <c r="D82" s="137">
        <f>'NonQM (RT)'!D11</f>
        <v>95.925500000000014</v>
      </c>
      <c r="E82" s="138"/>
      <c r="F82" s="138"/>
      <c r="G82" s="139" t="e">
        <f>SUM('NonQM (RT)'!V12:V35)+B67</f>
        <v>#N/A</v>
      </c>
      <c r="H82" s="140">
        <v>1</v>
      </c>
      <c r="I82" s="141">
        <f t="shared" ref="I82:I124" si="0">B82</f>
        <v>6.375</v>
      </c>
      <c r="J82" s="142" t="e">
        <f t="shared" ref="J82:J124" si="1">C82+$G$82</f>
        <v>#N/A</v>
      </c>
      <c r="K82" s="142" t="e">
        <f t="shared" ref="K82:K124" si="2">D82+$G$82</f>
        <v>#N/A</v>
      </c>
      <c r="L82" s="143"/>
      <c r="M82" s="143"/>
      <c r="N82" s="139" cm="1">
        <f t="array" ref="N82:N124">I82:I124</f>
        <v>6.375</v>
      </c>
      <c r="Q82" s="577"/>
      <c r="R82" s="577"/>
      <c r="S82" s="578"/>
      <c r="AH82" s="101"/>
      <c r="AJ82" s="101"/>
      <c r="AK82" s="101"/>
      <c r="AL82" s="101"/>
      <c r="AM82" s="101"/>
      <c r="AN82" s="101"/>
      <c r="AO82" s="101"/>
      <c r="AP82" s="101"/>
    </row>
    <row r="83" spans="2:48" x14ac:dyDescent="0.25">
      <c r="B83" s="144">
        <f>'NonQM (RT)'!B12</f>
        <v>6.4989999999999997</v>
      </c>
      <c r="C83" s="145">
        <f>'NonQM (RT)'!C12</f>
        <v>96.725500000000011</v>
      </c>
      <c r="D83" s="145">
        <f>'NonQM (RT)'!D12</f>
        <v>96.425500000000014</v>
      </c>
      <c r="E83" s="146"/>
      <c r="F83" s="146"/>
      <c r="G83" s="89" t="s">
        <v>625</v>
      </c>
      <c r="H83" s="140">
        <v>2</v>
      </c>
      <c r="I83" s="147">
        <f t="shared" si="0"/>
        <v>6.4989999999999997</v>
      </c>
      <c r="J83" s="148" t="e">
        <f t="shared" si="1"/>
        <v>#N/A</v>
      </c>
      <c r="K83" s="148" t="e">
        <f t="shared" si="2"/>
        <v>#N/A</v>
      </c>
      <c r="L83" s="149"/>
      <c r="M83" s="149"/>
      <c r="N83" s="139">
        <v>6.4989999999999997</v>
      </c>
      <c r="R83" s="150"/>
      <c r="S83" s="99"/>
      <c r="AH83" s="101"/>
      <c r="AJ83" s="101"/>
      <c r="AK83" s="101"/>
      <c r="AL83" s="101"/>
      <c r="AM83" s="101"/>
      <c r="AN83" s="101"/>
      <c r="AO83" s="101"/>
      <c r="AP83" s="101"/>
    </row>
    <row r="84" spans="2:48" x14ac:dyDescent="0.25">
      <c r="B84" s="144">
        <f>'NonQM (RT)'!B13</f>
        <v>6.625</v>
      </c>
      <c r="C84" s="145">
        <f>'NonQM (RT)'!C13</f>
        <v>97.225500000000011</v>
      </c>
      <c r="D84" s="145">
        <f>'NonQM (RT)'!D13</f>
        <v>96.925500000000014</v>
      </c>
      <c r="E84" s="146"/>
      <c r="F84" s="146"/>
      <c r="G84" s="89" t="s">
        <v>626</v>
      </c>
      <c r="H84" s="140">
        <v>3</v>
      </c>
      <c r="I84" s="147">
        <f t="shared" si="0"/>
        <v>6.625</v>
      </c>
      <c r="J84" s="148" t="e">
        <f t="shared" si="1"/>
        <v>#N/A</v>
      </c>
      <c r="K84" s="148" t="e">
        <f t="shared" si="2"/>
        <v>#N/A</v>
      </c>
      <c r="L84" s="149"/>
      <c r="M84" s="149"/>
      <c r="N84" s="139">
        <v>6.625</v>
      </c>
      <c r="R84" s="150"/>
      <c r="S84" s="99"/>
      <c r="AG84" s="580" t="s">
        <v>654</v>
      </c>
      <c r="AH84" s="579"/>
      <c r="AI84" s="581"/>
      <c r="AJ84" s="101"/>
      <c r="AK84" s="101"/>
      <c r="AL84" s="101"/>
      <c r="AM84" s="101"/>
      <c r="AN84" s="101"/>
      <c r="AO84" s="101"/>
      <c r="AP84" s="101"/>
    </row>
    <row r="85" spans="2:48" ht="15.75" x14ac:dyDescent="0.25">
      <c r="B85" s="144">
        <f>'NonQM (RT)'!B14</f>
        <v>6.75</v>
      </c>
      <c r="C85" s="145">
        <f>'NonQM (RT)'!C14</f>
        <v>97.725500000000011</v>
      </c>
      <c r="D85" s="145">
        <f>'NonQM (RT)'!D14</f>
        <v>97.425500000000014</v>
      </c>
      <c r="E85" s="146"/>
      <c r="F85" s="146"/>
      <c r="G85" s="139" t="e">
        <f>'NonQM (RT)'!V40</f>
        <v>#N/A</v>
      </c>
      <c r="H85" s="140">
        <v>4</v>
      </c>
      <c r="I85" s="147">
        <f t="shared" si="0"/>
        <v>6.75</v>
      </c>
      <c r="J85" s="148" t="e">
        <f t="shared" si="1"/>
        <v>#N/A</v>
      </c>
      <c r="K85" s="148" t="e">
        <f t="shared" si="2"/>
        <v>#N/A</v>
      </c>
      <c r="L85" s="149"/>
      <c r="M85" s="149"/>
      <c r="N85" s="139">
        <v>6.75</v>
      </c>
      <c r="P85" s="365"/>
      <c r="U85" s="579"/>
      <c r="V85" s="579"/>
      <c r="W85" s="579"/>
      <c r="Y85" s="119" t="s">
        <v>627</v>
      </c>
      <c r="Z85" s="579"/>
      <c r="AA85" s="579"/>
      <c r="AG85" s="425" t="s">
        <v>655</v>
      </c>
      <c r="AH85" s="426" t="str">
        <f>IF(AND(
   ISNUMBER(MATCH('NonQM (RT)'!$U$12, $A$9:$A$12, 0)),
   'NonQM (RT)'!$U$22 = $J$6), NA(), "")</f>
        <v/>
      </c>
      <c r="AI85" s="425" t="s">
        <v>656</v>
      </c>
      <c r="AJ85" s="101"/>
      <c r="AK85" s="101"/>
      <c r="AL85" s="101"/>
      <c r="AM85" s="101"/>
      <c r="AN85" s="101"/>
      <c r="AO85" s="101"/>
      <c r="AP85" s="101"/>
    </row>
    <row r="86" spans="2:48" ht="15.75" x14ac:dyDescent="0.25">
      <c r="B86" s="144">
        <f>'NonQM (RT)'!B15</f>
        <v>6.875</v>
      </c>
      <c r="C86" s="145">
        <f>'NonQM (RT)'!C15</f>
        <v>98.163000000000011</v>
      </c>
      <c r="D86" s="145">
        <f>'NonQM (RT)'!D15</f>
        <v>97.863000000000014</v>
      </c>
      <c r="E86" s="146"/>
      <c r="F86" s="146"/>
      <c r="H86" s="140">
        <v>5</v>
      </c>
      <c r="I86" s="147">
        <f t="shared" si="0"/>
        <v>6.875</v>
      </c>
      <c r="J86" s="148" t="e">
        <f t="shared" si="1"/>
        <v>#N/A</v>
      </c>
      <c r="K86" s="148" t="e">
        <f t="shared" si="2"/>
        <v>#N/A</v>
      </c>
      <c r="L86" s="149"/>
      <c r="M86" s="149"/>
      <c r="N86" s="139">
        <v>6.875</v>
      </c>
      <c r="P86" s="365"/>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5" t="s">
        <v>657</v>
      </c>
      <c r="AH86" s="426" t="str">
        <f>IF(AND(
   ISNUMBER(MATCH('NonQM (RT)'!$U$12, $A$9:$A$12, 0)),
   'NonQM (RT)'!$U$22 = $J$4), NA(), "")</f>
        <v/>
      </c>
      <c r="AI86" s="425" t="s">
        <v>658</v>
      </c>
      <c r="AJ86" s="101"/>
      <c r="AK86" s="101"/>
      <c r="AL86" s="101"/>
      <c r="AM86" s="101"/>
      <c r="AN86" s="101"/>
      <c r="AO86" s="101"/>
      <c r="AP86" s="101"/>
    </row>
    <row r="87" spans="2:48" ht="15.75" x14ac:dyDescent="0.25">
      <c r="B87" s="144">
        <f>'NonQM (RT)'!B16</f>
        <v>6.9989999999999997</v>
      </c>
      <c r="C87" s="145">
        <f>'NonQM (RT)'!C16</f>
        <v>98.600500000000011</v>
      </c>
      <c r="D87" s="145">
        <f>'NonQM (RT)'!D16</f>
        <v>98.300500000000014</v>
      </c>
      <c r="E87" s="146"/>
      <c r="F87" s="146"/>
      <c r="H87" s="140">
        <v>6</v>
      </c>
      <c r="I87" s="147">
        <f t="shared" si="0"/>
        <v>6.9989999999999997</v>
      </c>
      <c r="J87" s="148" t="e">
        <f t="shared" si="1"/>
        <v>#N/A</v>
      </c>
      <c r="K87" s="148" t="e">
        <f t="shared" si="2"/>
        <v>#N/A</v>
      </c>
      <c r="L87" s="149"/>
      <c r="M87" s="149"/>
      <c r="N87" s="139">
        <v>6.9989999999999997</v>
      </c>
      <c r="P87" s="365"/>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5" t="s">
        <v>660</v>
      </c>
      <c r="AH87" s="426" t="str">
        <f>IF(AND(
   ISNUMBER(MATCH('NonQM (RT)'!$U$12, $A$3:$A$8, 0)),
   'NonQM (RT)'!$U$22 = $J$5), NA(), "")</f>
        <v/>
      </c>
      <c r="AI87" s="425" t="s">
        <v>661</v>
      </c>
      <c r="AJ87" s="101"/>
      <c r="AK87" s="101"/>
      <c r="AL87" s="101"/>
      <c r="AM87" s="101"/>
      <c r="AN87" s="101"/>
      <c r="AO87" s="101"/>
      <c r="AP87" s="101"/>
    </row>
    <row r="88" spans="2:48" ht="15.75" x14ac:dyDescent="0.25">
      <c r="B88" s="144">
        <f>'NonQM (RT)'!B17</f>
        <v>7.125</v>
      </c>
      <c r="C88" s="145">
        <f>'NonQM (RT)'!C17</f>
        <v>99.038000000000011</v>
      </c>
      <c r="D88" s="145">
        <f>'NonQM (RT)'!D17</f>
        <v>98.738000000000014</v>
      </c>
      <c r="E88" s="146"/>
      <c r="F88" s="146"/>
      <c r="H88" s="140">
        <v>7</v>
      </c>
      <c r="I88" s="147">
        <f t="shared" si="0"/>
        <v>7.125</v>
      </c>
      <c r="J88" s="148" t="e">
        <f t="shared" si="1"/>
        <v>#N/A</v>
      </c>
      <c r="K88" s="148" t="e">
        <f t="shared" si="2"/>
        <v>#N/A</v>
      </c>
      <c r="L88" s="149"/>
      <c r="M88" s="149"/>
      <c r="N88" s="139">
        <v>7.125</v>
      </c>
      <c r="P88" s="365"/>
      <c r="Y88" s="89" t="s">
        <v>272</v>
      </c>
      <c r="Z88" s="150" t="str">
        <f>IF(AND(
   ISNUMBER(MATCH('NonQM (RT)'!$U$12, $A$9:$A$12, 0)),
   ISNUMBER(MATCH('NonQM (RT)'!$U$11, $B$8:$B$11, 0)),
   ISNUMBER(MATCH('NonQM (RT)'!$U$15, $D$18, 0)),
   ISNUMBER(MATCH('NonQM (RT)'!$U$22, $J$3:$J$5, 0)),
   ISNUMBER(MATCH('NonQM (RT)'!$U$21, $G$5:$G$7, 0)),
   'NonQM (RT)'!$U$13 = $C$4
), NA(), "")</f>
        <v/>
      </c>
      <c r="AA88" s="89" t="s">
        <v>297</v>
      </c>
      <c r="AG88" s="425" t="s">
        <v>663</v>
      </c>
      <c r="AH88" s="426" t="str">
        <f>IF(AND(
   ISNUMBER(MATCH('NonQM (RT)'!$U$12, $A$3:$A$8, 0)),
   'NonQM (RT)'!$U$22 = $J$7), NA(), "")</f>
        <v/>
      </c>
      <c r="AI88" s="425" t="s">
        <v>662</v>
      </c>
      <c r="AJ88" s="101"/>
      <c r="AK88" s="101"/>
      <c r="AL88" s="101"/>
      <c r="AM88" s="101"/>
      <c r="AN88" s="101"/>
      <c r="AO88" s="101"/>
      <c r="AP88" s="101"/>
    </row>
    <row r="89" spans="2:48" ht="15.75" x14ac:dyDescent="0.25">
      <c r="B89" s="144">
        <f>'NonQM (RT)'!B18</f>
        <v>7.25</v>
      </c>
      <c r="C89" s="145">
        <f>'NonQM (RT)'!C18</f>
        <v>99.444250000000011</v>
      </c>
      <c r="D89" s="145">
        <f>'NonQM (RT)'!D18</f>
        <v>99.144250000000014</v>
      </c>
      <c r="E89" s="146"/>
      <c r="F89" s="146"/>
      <c r="G89" s="89" t="str">
        <f>'NonQM (RT)'!U17</f>
        <v>Choose a Selection</v>
      </c>
      <c r="H89" s="140">
        <v>8</v>
      </c>
      <c r="I89" s="147">
        <f t="shared" si="0"/>
        <v>7.25</v>
      </c>
      <c r="J89" s="148" t="e">
        <f t="shared" si="1"/>
        <v>#N/A</v>
      </c>
      <c r="K89" s="148" t="e">
        <f t="shared" si="2"/>
        <v>#N/A</v>
      </c>
      <c r="L89" s="149"/>
      <c r="M89" s="149"/>
      <c r="N89" s="139">
        <v>7.25</v>
      </c>
      <c r="P89" s="365"/>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5" t="s">
        <v>737</v>
      </c>
      <c r="AH89" s="426" t="str">
        <f>IF(AND(
   ISNUMBER(MATCH('NonQM (RT)'!$U$12, $A$9:$A$12, 0)),
   'NonQM (RT)'!$U$18 = $E$9
), NA(), "")</f>
        <v/>
      </c>
      <c r="AI89" s="425" t="s">
        <v>738</v>
      </c>
      <c r="AJ89" s="101"/>
      <c r="AK89" s="101"/>
      <c r="AL89" s="101"/>
      <c r="AM89" s="101"/>
      <c r="AN89" s="101"/>
      <c r="AO89" s="101"/>
      <c r="AP89" s="101"/>
    </row>
    <row r="90" spans="2:48" ht="15.75" x14ac:dyDescent="0.25">
      <c r="B90" s="144">
        <f>'NonQM (RT)'!B19</f>
        <v>7.375</v>
      </c>
      <c r="C90" s="145">
        <f>'NonQM (RT)'!C19</f>
        <v>99.819250000000011</v>
      </c>
      <c r="D90" s="145">
        <f>'NonQM (RT)'!D19</f>
        <v>99.519250000000014</v>
      </c>
      <c r="E90" s="146"/>
      <c r="F90" s="146"/>
      <c r="G90" s="89" t="e">
        <f>#REF!</f>
        <v>#REF!</v>
      </c>
      <c r="H90" s="140">
        <v>9</v>
      </c>
      <c r="I90" s="147">
        <f t="shared" si="0"/>
        <v>7.375</v>
      </c>
      <c r="J90" s="148" t="e">
        <f t="shared" si="1"/>
        <v>#N/A</v>
      </c>
      <c r="K90" s="148" t="e">
        <f t="shared" si="2"/>
        <v>#N/A</v>
      </c>
      <c r="L90" s="149"/>
      <c r="M90" s="149"/>
      <c r="N90" s="139">
        <v>7.375</v>
      </c>
      <c r="P90" s="365"/>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5" t="s">
        <v>737</v>
      </c>
      <c r="AH90" s="426" t="str">
        <f>IF(AND(
   ISNUMBER(MATCH('NonQM (RT)'!$U$12, $A$3:$A$12, 0)),
   ISNUMBER(MATCH('NonQM (RT)'!$U$23, $L$4:$L$6, 0)),
   'NonQM (RT)'!$U$18 = $E$9
), NA(), "")</f>
        <v/>
      </c>
      <c r="AI90" s="425" t="s">
        <v>739</v>
      </c>
      <c r="AJ90" s="101"/>
      <c r="AK90" s="101"/>
      <c r="AL90" s="101"/>
      <c r="AM90" s="101"/>
      <c r="AN90" s="101"/>
      <c r="AO90" s="101"/>
      <c r="AP90" s="101"/>
    </row>
    <row r="91" spans="2:48" ht="15.75" x14ac:dyDescent="0.25">
      <c r="B91" s="144">
        <f>'NonQM (RT)'!B20</f>
        <v>7.4989999999999997</v>
      </c>
      <c r="C91" s="145">
        <f>'NonQM (RT)'!C20</f>
        <v>100.19425000000001</v>
      </c>
      <c r="D91" s="145">
        <f>'NonQM (RT)'!D20</f>
        <v>99.894250000000014</v>
      </c>
      <c r="E91" s="146"/>
      <c r="F91" s="146"/>
      <c r="G91" s="89" t="e">
        <f>IF(#REF!="DSCR 5-8", "DSCR 5-8", "")</f>
        <v>#REF!</v>
      </c>
      <c r="H91" s="140">
        <v>10</v>
      </c>
      <c r="I91" s="147">
        <f t="shared" si="0"/>
        <v>7.4989999999999997</v>
      </c>
      <c r="J91" s="148" t="e">
        <f t="shared" si="1"/>
        <v>#N/A</v>
      </c>
      <c r="K91" s="148" t="e">
        <f t="shared" si="2"/>
        <v>#N/A</v>
      </c>
      <c r="L91" s="149"/>
      <c r="M91" s="149"/>
      <c r="N91" s="139">
        <v>7.4989999999999997</v>
      </c>
      <c r="P91" s="365"/>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5" t="s">
        <v>737</v>
      </c>
      <c r="AH91" s="426" t="s">
        <v>227</v>
      </c>
      <c r="AI91" s="425" t="s">
        <v>740</v>
      </c>
      <c r="AJ91" s="101"/>
      <c r="AK91" s="101"/>
      <c r="AL91" s="101"/>
      <c r="AM91" s="101"/>
      <c r="AN91" s="101"/>
      <c r="AO91" s="101"/>
      <c r="AP91" s="101"/>
    </row>
    <row r="92" spans="2:48" ht="15.75" x14ac:dyDescent="0.25">
      <c r="B92" s="144">
        <f>'NonQM (RT)'!B21</f>
        <v>7.625</v>
      </c>
      <c r="C92" s="145">
        <f>'NonQM (RT)'!C21</f>
        <v>100.53800000000001</v>
      </c>
      <c r="D92" s="145">
        <f>'NonQM (RT)'!D21</f>
        <v>100.23800000000001</v>
      </c>
      <c r="E92" s="146"/>
      <c r="F92" s="146"/>
      <c r="H92" s="140">
        <v>11</v>
      </c>
      <c r="I92" s="147">
        <f t="shared" si="0"/>
        <v>7.625</v>
      </c>
      <c r="J92" s="148" t="e">
        <f t="shared" si="1"/>
        <v>#N/A</v>
      </c>
      <c r="K92" s="148" t="e">
        <f t="shared" si="2"/>
        <v>#N/A</v>
      </c>
      <c r="L92" s="149"/>
      <c r="M92" s="149"/>
      <c r="N92" s="139">
        <v>7.625</v>
      </c>
      <c r="P92" s="365"/>
      <c r="Y92" s="89" t="s">
        <v>272</v>
      </c>
      <c r="Z92" s="150" t="str">
        <f>IF(AND(
   ISNUMBER(MATCH('NonQM (RT)'!$U$12, $A$3:$A$8, 0)),
   ISNUMBER(MATCH('NonQM (RT)'!$U$11, $B$10:$B$11, 0)),
   ISNUMBER(MATCH('NonQM (RT)'!$U$15, $D$16, 0)),
   ISNUMBER(MATCH('NonQM (RT)'!$U$22, $J$4:$J$5, 0)),
   ISNUMBER(MATCH('NonQM (RT)'!$U$21, $G$5:$G$7, 0)),
   'NonQM (RT)'!$U$13 = $C$4
), NA(), "")</f>
        <v/>
      </c>
      <c r="AA92" s="89" t="s">
        <v>325</v>
      </c>
      <c r="AG92" s="427"/>
      <c r="AH92" s="427"/>
      <c r="AI92" s="427"/>
      <c r="AM92" s="101"/>
      <c r="AN92" s="101"/>
      <c r="AO92" s="101"/>
      <c r="AP92" s="101"/>
      <c r="AQ92" s="101"/>
      <c r="AR92" s="101"/>
      <c r="AS92" s="101"/>
      <c r="AT92" s="101"/>
      <c r="AU92" s="101"/>
      <c r="AV92" s="101"/>
    </row>
    <row r="93" spans="2:48" ht="15.75" x14ac:dyDescent="0.25">
      <c r="B93" s="144">
        <f>'NonQM (RT)'!B22</f>
        <v>7.75</v>
      </c>
      <c r="C93" s="145">
        <f>'NonQM (RT)'!C22</f>
        <v>100.85050000000001</v>
      </c>
      <c r="D93" s="145">
        <f>'NonQM (RT)'!D22</f>
        <v>100.55050000000001</v>
      </c>
      <c r="E93" s="146"/>
      <c r="F93" s="146"/>
      <c r="H93" s="140">
        <v>12</v>
      </c>
      <c r="I93" s="147">
        <f t="shared" si="0"/>
        <v>7.75</v>
      </c>
      <c r="J93" s="148" t="e">
        <f t="shared" si="1"/>
        <v>#N/A</v>
      </c>
      <c r="K93" s="148" t="e">
        <f t="shared" si="2"/>
        <v>#N/A</v>
      </c>
      <c r="L93" s="149"/>
      <c r="M93" s="149"/>
      <c r="N93" s="139">
        <v>7.75</v>
      </c>
      <c r="Y93" s="89" t="s">
        <v>272</v>
      </c>
      <c r="Z93" s="150" t="str">
        <f>IF(AND(
   ISNUMBER(MATCH('NonQM (RT)'!$U$12, $A$9:$A$12, 0)),
   ISNUMBER(MATCH('NonQM (RT)'!$U$11, $B$9:$B$11, 0)),
   ISNUMBER(MATCH('NonQM (RT)'!$U$15, $D$16, 0)),
   ISNUMBER(MATCH('NonQM (RT)'!$U$22, $J$4:$J$5, 0)),
   ISNUMBER(MATCH('NonQM (RT)'!$U$21, $G$5, 0)),
   'NonQM (RT)'!$U$13 = $C$4
), NA(), "")</f>
        <v/>
      </c>
      <c r="AA93" s="89" t="s">
        <v>296</v>
      </c>
      <c r="AG93" s="427"/>
      <c r="AH93" s="427"/>
      <c r="AI93" s="427"/>
      <c r="AM93" s="101"/>
      <c r="AN93" s="101"/>
      <c r="AO93" s="101"/>
      <c r="AP93" s="101"/>
      <c r="AQ93" s="101"/>
      <c r="AR93" s="101"/>
      <c r="AS93" s="101"/>
      <c r="AT93" s="101"/>
      <c r="AU93" s="101"/>
      <c r="AV93" s="101"/>
    </row>
    <row r="94" spans="2:48" ht="15.75" x14ac:dyDescent="0.25">
      <c r="B94" s="144">
        <f>'NonQM (RT)'!B23</f>
        <v>7.875</v>
      </c>
      <c r="C94" s="145">
        <f>'NonQM (RT)'!C23</f>
        <v>101.16300000000001</v>
      </c>
      <c r="D94" s="145">
        <f>'NonQM (RT)'!D23</f>
        <v>100.86300000000001</v>
      </c>
      <c r="E94" s="146"/>
      <c r="F94" s="146"/>
      <c r="G94" s="139" t="e">
        <f>SUM(#REF!)+B67</f>
        <v>#REF!</v>
      </c>
      <c r="H94" s="140">
        <v>13</v>
      </c>
      <c r="I94" s="147">
        <f t="shared" si="0"/>
        <v>7.875</v>
      </c>
      <c r="J94" s="148" t="e">
        <f t="shared" si="1"/>
        <v>#N/A</v>
      </c>
      <c r="K94" s="148" t="e">
        <f t="shared" si="2"/>
        <v>#N/A</v>
      </c>
      <c r="L94" s="149"/>
      <c r="M94" s="149"/>
      <c r="N94" s="139">
        <v>7.875</v>
      </c>
      <c r="Y94" s="89" t="s">
        <v>272</v>
      </c>
      <c r="Z94" s="150" t="str">
        <f>IF(AND(
   ISNUMBER(MATCH('NonQM (RT)'!$U$12, $A$9:$A$12, 0)),
   ISNUMBER(MATCH('NonQM (RT)'!$U$11, $B$8:$B$11, 0)),
   ISNUMBER(MATCH('NonQM (RT)'!$U$15, $D$16, 0)),
   ISNUMBER(MATCH('NonQM (RT)'!$U$22, $J$6:$J$7, 0)),
   ISNUMBER(MATCH('NonQM (RT)'!$U$21, $G$5, 0)),
   'NonQM (RT)'!$U$13 = $C$4
), NA(), "")</f>
        <v/>
      </c>
      <c r="AA94" s="89" t="s">
        <v>339</v>
      </c>
      <c r="AG94" s="427"/>
      <c r="AH94" s="427"/>
      <c r="AI94" s="427"/>
      <c r="AM94" s="101"/>
      <c r="AN94" s="101"/>
      <c r="AO94" s="101"/>
      <c r="AP94" s="101"/>
      <c r="AQ94" s="101"/>
      <c r="AR94" s="101"/>
      <c r="AS94" s="101"/>
    </row>
    <row r="95" spans="2:48" ht="15.75" x14ac:dyDescent="0.25">
      <c r="B95" s="144">
        <f>'NonQM (RT)'!B24</f>
        <v>7.9989999999999997</v>
      </c>
      <c r="C95" s="145">
        <f>'NonQM (RT)'!C24</f>
        <v>101.47550000000001</v>
      </c>
      <c r="D95" s="145">
        <f>'NonQM (RT)'!D24</f>
        <v>101.17550000000001</v>
      </c>
      <c r="E95" s="146"/>
      <c r="F95" s="146"/>
      <c r="H95" s="140">
        <v>14</v>
      </c>
      <c r="I95" s="147">
        <f t="shared" si="0"/>
        <v>7.9989999999999997</v>
      </c>
      <c r="J95" s="148" t="e">
        <f t="shared" si="1"/>
        <v>#N/A</v>
      </c>
      <c r="K95" s="148" t="e">
        <f t="shared" si="2"/>
        <v>#N/A</v>
      </c>
      <c r="L95" s="149"/>
      <c r="M95" s="149"/>
      <c r="N95" s="139">
        <v>7.9989999999999997</v>
      </c>
      <c r="Y95" s="89" t="s">
        <v>272</v>
      </c>
      <c r="Z95" s="151" t="str">
        <f>IF(AND(
   ISNUMBER(MATCH('NonQM (RT)'!$U$12, $A$11:$A$12, 0)),
   ISNUMBER(MATCH('NonQM (RT)'!$U$11, $B$7:$B$11, 0)),
   ISNUMBER(MATCH('NonQM (RT)'!$U$15, $D$16, 0)),
   ISNUMBER(MATCH('NonQM (RT)'!$U$22, $J$6:$J$7, 0)),
   ISNUMBER(MATCH('NonQM (RT)'!$U$21, $G$7, 0)),
   'NonQM (RT)'!$U$13 = $C$4
), NA(), "")</f>
        <v/>
      </c>
      <c r="AA95" s="89" t="s">
        <v>346</v>
      </c>
      <c r="AG95" s="427"/>
      <c r="AH95" s="427"/>
      <c r="AI95" s="427"/>
      <c r="AM95" s="101"/>
      <c r="AN95" s="101"/>
      <c r="AO95" s="101"/>
      <c r="AP95" s="101"/>
      <c r="AQ95" s="101"/>
      <c r="AR95" s="101"/>
      <c r="AS95" s="101"/>
    </row>
    <row r="96" spans="2:48" ht="15.75" x14ac:dyDescent="0.25">
      <c r="B96" s="144">
        <f>'NonQM (RT)'!B25</f>
        <v>8.125</v>
      </c>
      <c r="C96" s="145">
        <f>'NonQM (RT)'!C25</f>
        <v>101.75675000000001</v>
      </c>
      <c r="D96" s="145">
        <f>'NonQM (RT)'!D25</f>
        <v>101.45675000000001</v>
      </c>
      <c r="E96" s="146"/>
      <c r="F96" s="146"/>
      <c r="H96" s="140">
        <v>15</v>
      </c>
      <c r="I96" s="147">
        <f t="shared" si="0"/>
        <v>8.125</v>
      </c>
      <c r="J96" s="148" t="e">
        <f t="shared" si="1"/>
        <v>#N/A</v>
      </c>
      <c r="K96" s="148" t="e">
        <f t="shared" si="2"/>
        <v>#N/A</v>
      </c>
      <c r="L96" s="149"/>
      <c r="M96" s="149"/>
      <c r="N96" s="139">
        <v>8.125</v>
      </c>
      <c r="Y96" s="89" t="s">
        <v>272</v>
      </c>
      <c r="Z96" s="150" t="str">
        <f>IF(AND(
   ISNUMBER(MATCH('NonQM (RT)'!$U$12, $A$9:$A$12, 0)),
   ISNUMBER(MATCH('NonQM (RT)'!$U$11, $B$8:$B$11, 0)),
   ISNUMBER(MATCH('NonQM (RT)'!$U$15, $D$18, 0)),
   ISNUMBER(MATCH('NonQM (RT)'!$U$22, $J$3:$J$5, 0)),
   ISNUMBER(MATCH('NonQM (RT)'!$U$21, $G$5, 0)),
   'NonQM (RT)'!$U$13 = $C$4
), NA(), "")</f>
        <v/>
      </c>
      <c r="AA96" s="89" t="s">
        <v>352</v>
      </c>
      <c r="AG96" s="427"/>
      <c r="AH96" s="427"/>
      <c r="AI96" s="427"/>
      <c r="AK96"/>
      <c r="AL96"/>
      <c r="AM96"/>
      <c r="AN96"/>
      <c r="AO96"/>
      <c r="AP96"/>
      <c r="AQ96"/>
      <c r="AR96"/>
      <c r="AS96"/>
      <c r="AT96"/>
      <c r="AU96"/>
      <c r="AV96"/>
    </row>
    <row r="97" spans="2:48" ht="15.75" x14ac:dyDescent="0.25">
      <c r="B97" s="144">
        <f>'NonQM (RT)'!B26</f>
        <v>8.25</v>
      </c>
      <c r="C97" s="145">
        <f>'NonQM (RT)'!C26</f>
        <v>102.03800000000001</v>
      </c>
      <c r="D97" s="145">
        <f>'NonQM (RT)'!D26</f>
        <v>101.73800000000001</v>
      </c>
      <c r="E97" s="146"/>
      <c r="F97" s="146"/>
      <c r="G97" s="139"/>
      <c r="H97" s="140">
        <v>16</v>
      </c>
      <c r="I97" s="147">
        <f t="shared" si="0"/>
        <v>8.25</v>
      </c>
      <c r="J97" s="148" t="e">
        <f t="shared" si="1"/>
        <v>#N/A</v>
      </c>
      <c r="K97" s="148" t="e">
        <f t="shared" si="2"/>
        <v>#N/A</v>
      </c>
      <c r="L97" s="149"/>
      <c r="M97" s="149"/>
      <c r="N97" s="139">
        <v>8.25</v>
      </c>
      <c r="Y97" s="89" t="s">
        <v>272</v>
      </c>
      <c r="Z97" s="151" t="str">
        <f>IF(AND(
   ISNUMBER(MATCH('NonQM (RT)'!$U$12, $A$9:$A$12, 0)),
   ISNUMBER(MATCH('NonQM (RT)'!$U$11, $B$7:$B$11, 0)),
   ISNUMBER(MATCH('NonQM (RT)'!$U$15, $D$18, 0)),
   ISNUMBER(MATCH('NonQM (RT)'!$U$22, $J$6:$J$7, 0)),
   ISNUMBER(MATCH('NonQM (RT)'!$U$21, $G$5, 0)),
   'NonQM (RT)'!$U$13 = $C$4
), NA(), "")</f>
        <v/>
      </c>
      <c r="AA97" s="89" t="s">
        <v>360</v>
      </c>
      <c r="AG97" s="427"/>
      <c r="AH97" s="427"/>
      <c r="AI97" s="427"/>
      <c r="AK97"/>
      <c r="AL97"/>
      <c r="AM97"/>
      <c r="AN97"/>
      <c r="AO97"/>
      <c r="AP97"/>
      <c r="AQ97"/>
      <c r="AR97"/>
      <c r="AS97"/>
      <c r="AT97"/>
      <c r="AU97"/>
      <c r="AV97"/>
    </row>
    <row r="98" spans="2:48" ht="15.75" x14ac:dyDescent="0.25">
      <c r="B98" s="144">
        <f>'NonQM (RT)'!B27</f>
        <v>8.375</v>
      </c>
      <c r="C98" s="145">
        <f>'NonQM (RT)'!C27</f>
        <v>102.31925000000001</v>
      </c>
      <c r="D98" s="145">
        <f>'NonQM (RT)'!D27</f>
        <v>102.01925000000001</v>
      </c>
      <c r="E98" s="146"/>
      <c r="F98" s="146"/>
      <c r="G98" s="139"/>
      <c r="H98" s="140">
        <v>17</v>
      </c>
      <c r="I98" s="147">
        <f t="shared" si="0"/>
        <v>8.375</v>
      </c>
      <c r="J98" s="148" t="e">
        <f t="shared" si="1"/>
        <v>#N/A</v>
      </c>
      <c r="K98" s="148" t="e">
        <f t="shared" si="2"/>
        <v>#N/A</v>
      </c>
      <c r="L98" s="149"/>
      <c r="M98" s="149"/>
      <c r="N98" s="139">
        <v>8.375</v>
      </c>
      <c r="Y98" s="150" t="s">
        <v>272</v>
      </c>
      <c r="Z98" s="151" t="str">
        <f>IF(AND(
   ISNUMBER(MATCH('NonQM (RT)'!$U$12, $A$3:$A$8, 0)),
   ISNUMBER(MATCH('NonQM (RT)'!$U$11, $B$7:$B$11, 0)),
   ISNUMBER(MATCH('NonQM (RT)'!$U$15, $D$19, 0)),
   ISNUMBER(MATCH('NonQM (RT)'!$U$22, $J$6:$J$7, 0)),
   ISNUMBER(MATCH('NonQM (RT)'!$U$21, $G$5:$G$7, 0)),
   'NonQM (RT)'!$U$13 = $C$4
), NA(), "")</f>
        <v/>
      </c>
      <c r="AA98" s="150" t="s">
        <v>632</v>
      </c>
      <c r="AG98" s="427"/>
      <c r="AH98" s="427"/>
      <c r="AI98" s="427"/>
      <c r="AK98"/>
      <c r="AL98"/>
      <c r="AM98"/>
      <c r="AN98"/>
      <c r="AO98"/>
      <c r="AP98"/>
      <c r="AQ98"/>
      <c r="AR98"/>
      <c r="AS98"/>
      <c r="AT98"/>
      <c r="AU98"/>
      <c r="AV98"/>
    </row>
    <row r="99" spans="2:48" ht="15.75" x14ac:dyDescent="0.25">
      <c r="B99" s="144">
        <f>'NonQM (RT)'!B28</f>
        <v>8.4990000000000006</v>
      </c>
      <c r="C99" s="145">
        <f>'NonQM (RT)'!C28</f>
        <v>102.56925000000001</v>
      </c>
      <c r="D99" s="145">
        <f>'NonQM (RT)'!D28</f>
        <v>102.26925000000001</v>
      </c>
      <c r="E99" s="146"/>
      <c r="F99" s="146"/>
      <c r="H99" s="140">
        <v>18</v>
      </c>
      <c r="I99" s="152">
        <f t="shared" si="0"/>
        <v>8.4990000000000006</v>
      </c>
      <c r="J99" s="153" t="e">
        <f t="shared" si="1"/>
        <v>#N/A</v>
      </c>
      <c r="K99" s="153" t="e">
        <f t="shared" si="2"/>
        <v>#N/A</v>
      </c>
      <c r="L99" s="154"/>
      <c r="M99" s="154"/>
      <c r="N99" s="139">
        <v>8.4990000000000006</v>
      </c>
      <c r="Y99" s="89" t="s">
        <v>272</v>
      </c>
      <c r="Z99" s="151" t="str">
        <f>IF(AND(
   ISNUMBER(MATCH('NonQM (RT)'!$U$12, $A$3:$A$7, 0)),
   ISNUMBER(MATCH('NonQM (RT)'!$U$11, $B$8:$B$11, 0)),
   ISNUMBER(MATCH('NonQM (RT)'!$U$15, $D$18, 0)),
   ISNUMBER(MATCH('NonQM (RT)'!$U$22, $J$6:$J$7, 0)),
   ISNUMBER(MATCH('NonQM (RT)'!$U$21, $G$7, 0)),
   'NonQM (RT)'!$U$13 = $C$4
), NA(), "")</f>
        <v/>
      </c>
      <c r="AA99" s="89" t="s">
        <v>383</v>
      </c>
      <c r="AG99" s="427"/>
      <c r="AH99" s="427"/>
      <c r="AI99" s="427"/>
      <c r="AK99"/>
      <c r="AL99"/>
      <c r="AM99"/>
      <c r="AN99"/>
      <c r="AO99"/>
      <c r="AP99"/>
      <c r="AQ99"/>
      <c r="AR99"/>
      <c r="AS99"/>
      <c r="AT99"/>
      <c r="AU99"/>
      <c r="AV99"/>
    </row>
    <row r="100" spans="2:48" ht="15.75" x14ac:dyDescent="0.25">
      <c r="B100" s="144">
        <f>'NonQM (RT)'!B29</f>
        <v>8.625</v>
      </c>
      <c r="C100" s="145">
        <f>'NonQM (RT)'!C29</f>
        <v>102.81925000000001</v>
      </c>
      <c r="D100" s="145">
        <f>'NonQM (RT)'!D29</f>
        <v>102.51925000000001</v>
      </c>
      <c r="E100" s="146"/>
      <c r="F100" s="146"/>
      <c r="H100" s="140">
        <v>19</v>
      </c>
      <c r="I100" s="152">
        <f t="shared" si="0"/>
        <v>8.625</v>
      </c>
      <c r="J100" s="153" t="e">
        <f t="shared" si="1"/>
        <v>#N/A</v>
      </c>
      <c r="K100" s="153" t="e">
        <f t="shared" si="2"/>
        <v>#N/A</v>
      </c>
      <c r="L100" s="154"/>
      <c r="M100" s="154"/>
      <c r="N100" s="139">
        <v>8.625</v>
      </c>
      <c r="Y100" s="89" t="s">
        <v>272</v>
      </c>
      <c r="Z100" s="151" t="str">
        <f>IF(AND(
   ISNUMBER(MATCH('NonQM (RT)'!$U$12, $A$9:$A$10, 0)),
   ISNUMBER(MATCH('NonQM (RT)'!$U$11, $B$7:$B$11, 0)),
   ISNUMBER(MATCH('NonQM (RT)'!$U$15, $D$18, 0)),
   ISNUMBER(MATCH('NonQM (RT)'!$U$22, $J$6:$J$7, 0)),
   ISNUMBER(MATCH('NonQM (RT)'!$U$21, $G$7, 0)),
   'NonQM (RT)'!$U$13 = $C$4
), NA(), "")</f>
        <v/>
      </c>
      <c r="AA100" s="89" t="s">
        <v>393</v>
      </c>
      <c r="AG100" s="427"/>
      <c r="AH100" s="427"/>
      <c r="AI100" s="427"/>
      <c r="AK100"/>
      <c r="AL100"/>
      <c r="AM100"/>
      <c r="AN100"/>
      <c r="AO100"/>
      <c r="AP100"/>
      <c r="AQ100"/>
      <c r="AR100"/>
      <c r="AS100"/>
      <c r="AT100"/>
      <c r="AU100"/>
      <c r="AV100"/>
    </row>
    <row r="101" spans="2:48" ht="15.75" x14ac:dyDescent="0.25">
      <c r="B101" s="144">
        <f>'NonQM (RT)'!B30</f>
        <v>8.75</v>
      </c>
      <c r="C101" s="145">
        <f>'NonQM (RT)'!C30</f>
        <v>103.06925000000001</v>
      </c>
      <c r="D101" s="145">
        <f>'NonQM (RT)'!D30</f>
        <v>102.76925000000001</v>
      </c>
      <c r="E101" s="146"/>
      <c r="F101" s="146"/>
      <c r="H101" s="140">
        <v>20</v>
      </c>
      <c r="I101" s="147">
        <f t="shared" si="0"/>
        <v>8.75</v>
      </c>
      <c r="J101" s="148" t="e">
        <f t="shared" si="1"/>
        <v>#N/A</v>
      </c>
      <c r="K101" s="148" t="e">
        <f t="shared" si="2"/>
        <v>#N/A</v>
      </c>
      <c r="L101" s="149"/>
      <c r="M101" s="149"/>
      <c r="N101" s="139">
        <v>8.75</v>
      </c>
      <c r="Y101" s="89" t="s">
        <v>272</v>
      </c>
      <c r="Z101" s="151" t="str">
        <f>IF(AND(
   ISNUMBER(MATCH('NonQM (RT)'!$U$12, $A$11:$A$12, 0)),
   ISNUMBER(MATCH('NonQM (RT)'!$U$11, $B$7:$B$11, 0)),
   ISNUMBER(MATCH('NonQM (RT)'!$U$15, $D$18, 0)),
   ISNUMBER(MATCH('NonQM (RT)'!$U$22, $J$3:$J$5, 0)),
   ISNUMBER(MATCH('NonQM (RT)'!$U$21, $G$7, 0)),
   'NonQM (RT)'!$U$13 = $C$4
), NA(), "")</f>
        <v/>
      </c>
      <c r="AA101" s="89" t="s">
        <v>404</v>
      </c>
      <c r="AG101" s="427"/>
      <c r="AH101" s="427"/>
      <c r="AI101" s="427"/>
      <c r="AK101"/>
      <c r="AL101"/>
      <c r="AM101"/>
      <c r="AN101"/>
      <c r="AO101"/>
      <c r="AP101"/>
      <c r="AQ101"/>
      <c r="AR101"/>
      <c r="AS101"/>
      <c r="AT101"/>
      <c r="AU101"/>
      <c r="AV101"/>
    </row>
    <row r="102" spans="2:48" ht="15.75" x14ac:dyDescent="0.25">
      <c r="B102" s="144">
        <f>'NonQM (RT)'!B31</f>
        <v>8.875</v>
      </c>
      <c r="C102" s="145">
        <f>'NonQM (RT)'!C31</f>
        <v>103.31925000000001</v>
      </c>
      <c r="D102" s="145">
        <f>'NonQM (RT)'!D31</f>
        <v>103.01925000000001</v>
      </c>
      <c r="E102" s="146"/>
      <c r="F102" s="146"/>
      <c r="H102" s="140">
        <v>21</v>
      </c>
      <c r="I102" s="147">
        <f t="shared" si="0"/>
        <v>8.875</v>
      </c>
      <c r="J102" s="148" t="e">
        <f t="shared" si="1"/>
        <v>#N/A</v>
      </c>
      <c r="K102" s="148" t="e">
        <f t="shared" si="2"/>
        <v>#N/A</v>
      </c>
      <c r="L102" s="149"/>
      <c r="M102" s="149"/>
      <c r="N102" s="139">
        <v>8.875</v>
      </c>
      <c r="Y102" s="89" t="s">
        <v>272</v>
      </c>
      <c r="Z102" s="151" t="str">
        <f>IF(AND(
   ISNUMBER(MATCH('NonQM (RT)'!$U$12, $A$3:$A$5, 0)),
   ISNUMBER(MATCH('NonQM (RT)'!$U$11, $B$9:$B$11, 0)),
   ISNUMBER(MATCH('NonQM (RT)'!$U$15, $D$18, 0)),
   ISNUMBER(MATCH('NonQM (RT)'!$U$22, $J$3:$J$5, 0)),
   ISNUMBER(MATCH('NonQM (RT)'!$U$21, $G$8, 0)),
   'NonQM (RT)'!$U$13 = $C$4
), NA(), "")</f>
        <v/>
      </c>
      <c r="AA102" s="89" t="s">
        <v>414</v>
      </c>
      <c r="AG102" s="427"/>
      <c r="AH102" s="427"/>
      <c r="AI102" s="427"/>
      <c r="AK102"/>
      <c r="AL102"/>
      <c r="AM102"/>
      <c r="AN102"/>
      <c r="AO102"/>
      <c r="AP102"/>
      <c r="AQ102"/>
      <c r="AR102"/>
      <c r="AS102"/>
      <c r="AT102"/>
      <c r="AU102"/>
      <c r="AV102"/>
    </row>
    <row r="103" spans="2:48" x14ac:dyDescent="0.25">
      <c r="B103" s="144">
        <f>'NonQM (RT)'!B32</f>
        <v>8.9990000000000006</v>
      </c>
      <c r="C103" s="145">
        <f>'NonQM (RT)'!C32</f>
        <v>103.56925000000001</v>
      </c>
      <c r="D103" s="145">
        <f>'NonQM (RT)'!D32</f>
        <v>103.26925000000001</v>
      </c>
      <c r="E103" s="146"/>
      <c r="F103" s="146"/>
      <c r="H103" s="140">
        <v>22</v>
      </c>
      <c r="I103" s="147">
        <f t="shared" si="0"/>
        <v>8.9990000000000006</v>
      </c>
      <c r="J103" s="148" t="e">
        <f t="shared" si="1"/>
        <v>#N/A</v>
      </c>
      <c r="K103" s="148" t="e">
        <f t="shared" si="2"/>
        <v>#N/A</v>
      </c>
      <c r="L103" s="149"/>
      <c r="M103" s="149"/>
      <c r="N103" s="139">
        <v>8.9990000000000006</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9.125</v>
      </c>
      <c r="C104" s="145">
        <f>'NonQM (RT)'!C33</f>
        <v>103.81925000000001</v>
      </c>
      <c r="D104" s="145">
        <f>'NonQM (RT)'!D33</f>
        <v>103.51925000000001</v>
      </c>
      <c r="E104" s="146"/>
      <c r="F104" s="146"/>
      <c r="H104" s="140">
        <v>23</v>
      </c>
      <c r="I104" s="147">
        <f t="shared" si="0"/>
        <v>9.125</v>
      </c>
      <c r="J104" s="148" t="e">
        <f t="shared" si="1"/>
        <v>#N/A</v>
      </c>
      <c r="K104" s="148" t="e">
        <f t="shared" si="2"/>
        <v>#N/A</v>
      </c>
      <c r="L104" s="149"/>
      <c r="M104" s="149"/>
      <c r="N104" s="139">
        <v>9.125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9.25</v>
      </c>
      <c r="C105" s="145">
        <f>'NonQM (RT)'!C34</f>
        <v>104.06925000000001</v>
      </c>
      <c r="D105" s="145">
        <f>'NonQM (RT)'!D34</f>
        <v>103.76925000000001</v>
      </c>
      <c r="E105" s="146"/>
      <c r="F105" s="146"/>
      <c r="H105" s="140">
        <v>24</v>
      </c>
      <c r="I105" s="147">
        <f t="shared" si="0"/>
        <v>9.25</v>
      </c>
      <c r="J105" s="148" t="e">
        <f t="shared" si="1"/>
        <v>#N/A</v>
      </c>
      <c r="K105" s="148" t="e">
        <f t="shared" si="2"/>
        <v>#N/A</v>
      </c>
      <c r="L105" s="149"/>
      <c r="M105" s="149"/>
      <c r="N105" s="139">
        <v>9.25</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9.375</v>
      </c>
      <c r="C106" s="145">
        <f>'NonQM (RT)'!C35</f>
        <v>104.31925000000001</v>
      </c>
      <c r="D106" s="145">
        <f>'NonQM (RT)'!D35</f>
        <v>104.01925000000001</v>
      </c>
      <c r="E106" s="146"/>
      <c r="F106" s="146"/>
      <c r="H106" s="140">
        <v>25</v>
      </c>
      <c r="I106" s="147">
        <f t="shared" si="0"/>
        <v>9.375</v>
      </c>
      <c r="J106" s="148" t="e">
        <f t="shared" si="1"/>
        <v>#N/A</v>
      </c>
      <c r="K106" s="148" t="e">
        <f t="shared" si="2"/>
        <v>#N/A</v>
      </c>
      <c r="L106" s="149"/>
      <c r="M106" s="149"/>
      <c r="N106" s="139">
        <v>9.375</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9.4990000000000006</v>
      </c>
      <c r="C107" s="145">
        <f>'NonQM (RT)'!C36</f>
        <v>104.56925000000001</v>
      </c>
      <c r="D107" s="145">
        <f>'NonQM (RT)'!D36</f>
        <v>104.26925000000001</v>
      </c>
      <c r="E107" s="146"/>
      <c r="F107" s="146"/>
      <c r="H107" s="140">
        <v>26</v>
      </c>
      <c r="I107" s="147">
        <f t="shared" si="0"/>
        <v>9.4990000000000006</v>
      </c>
      <c r="J107" s="148" t="e">
        <f t="shared" si="1"/>
        <v>#N/A</v>
      </c>
      <c r="K107" s="148" t="e">
        <f t="shared" si="2"/>
        <v>#N/A</v>
      </c>
      <c r="L107" s="149"/>
      <c r="M107" s="149"/>
      <c r="N107" s="139">
        <v>9.4990000000000006</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9.625</v>
      </c>
      <c r="C108" s="145">
        <f>'NonQM (RT)'!C37</f>
        <v>104.75675000000001</v>
      </c>
      <c r="D108" s="145">
        <f>'NonQM (RT)'!D37</f>
        <v>104.45675000000001</v>
      </c>
      <c r="E108" s="146"/>
      <c r="F108" s="146"/>
      <c r="H108" s="140">
        <v>27</v>
      </c>
      <c r="I108" s="147">
        <f t="shared" si="0"/>
        <v>9.625</v>
      </c>
      <c r="J108" s="148" t="e">
        <f t="shared" si="1"/>
        <v>#N/A</v>
      </c>
      <c r="K108" s="148" t="e">
        <f t="shared" si="2"/>
        <v>#N/A</v>
      </c>
      <c r="L108" s="149"/>
      <c r="M108" s="149"/>
      <c r="N108" s="139">
        <v>9.625</v>
      </c>
      <c r="Y108" s="89" t="s">
        <v>272</v>
      </c>
      <c r="Z108" s="150" t="str">
        <f>IF(AND(
   ISNUMBER(MATCH('NonQM (RT)'!$U$12, $A$8, 0)),
   ISNUMBER(MATCH('NonQM (RT)'!$U$11, $B$8:$B$11, 0)),
   ISNUMBER(MATCH('NonQM (RT)'!$U$15, $D$18, 0)),
   ISNUMBER(MATCH('NonQM (RT)'!$U$22, $J$3:$J$5, 0)),
   ISNUMBER(MATCH('NonQM (RT)'!$U$21, $G$8, 0)),
   'NonQM (RT)'!$U$13 = $C$4
), NA(), "")</f>
        <v/>
      </c>
      <c r="AA108" s="89" t="s">
        <v>860</v>
      </c>
      <c r="AB108"/>
      <c r="AC108"/>
      <c r="AD108"/>
      <c r="AE108"/>
      <c r="AF108"/>
      <c r="AG108"/>
      <c r="AH108"/>
      <c r="AI108"/>
      <c r="AJ108"/>
      <c r="AK108"/>
      <c r="AL108"/>
      <c r="AM108"/>
      <c r="AN108"/>
    </row>
    <row r="109" spans="2:48" x14ac:dyDescent="0.25">
      <c r="B109" s="144">
        <f>'NonQM (RT)'!B38</f>
        <v>9.75</v>
      </c>
      <c r="C109" s="145">
        <f>'NonQM (RT)'!C38</f>
        <v>104.94425000000001</v>
      </c>
      <c r="D109" s="145">
        <f>'NonQM (RT)'!D38</f>
        <v>104.64425000000001</v>
      </c>
      <c r="E109" s="146"/>
      <c r="F109" s="146"/>
      <c r="H109" s="140">
        <v>28</v>
      </c>
      <c r="I109" s="147">
        <f t="shared" si="0"/>
        <v>9.75</v>
      </c>
      <c r="J109" s="148" t="e">
        <f t="shared" si="1"/>
        <v>#N/A</v>
      </c>
      <c r="K109" s="148" t="e">
        <f t="shared" si="2"/>
        <v>#N/A</v>
      </c>
      <c r="L109" s="149"/>
      <c r="M109" s="149"/>
      <c r="N109" s="139">
        <v>9.75</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9.875</v>
      </c>
      <c r="C110" s="145">
        <f>'NonQM (RT)'!C39</f>
        <v>105.13175000000001</v>
      </c>
      <c r="D110" s="145">
        <f>'NonQM (RT)'!D39</f>
        <v>104.83175000000001</v>
      </c>
      <c r="E110" s="146"/>
      <c r="F110" s="146"/>
      <c r="H110" s="140">
        <v>29</v>
      </c>
      <c r="I110" s="147">
        <f t="shared" si="0"/>
        <v>9.875</v>
      </c>
      <c r="J110" s="148" t="e">
        <f t="shared" si="1"/>
        <v>#N/A</v>
      </c>
      <c r="K110" s="148" t="e">
        <f t="shared" si="2"/>
        <v>#N/A</v>
      </c>
      <c r="L110" s="149"/>
      <c r="M110" s="149"/>
      <c r="N110" s="139">
        <v>9.875</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9.9990000000000006</v>
      </c>
      <c r="C111" s="145">
        <f>'NonQM (RT)'!C40</f>
        <v>105.31925000000001</v>
      </c>
      <c r="D111" s="145">
        <f>'NonQM (RT)'!D40</f>
        <v>105.01925000000001</v>
      </c>
      <c r="E111" s="146"/>
      <c r="F111" s="146"/>
      <c r="H111" s="140">
        <v>30</v>
      </c>
      <c r="I111" s="147">
        <f t="shared" si="0"/>
        <v>9.9990000000000006</v>
      </c>
      <c r="J111" s="148" t="e">
        <f t="shared" si="1"/>
        <v>#N/A</v>
      </c>
      <c r="K111" s="148" t="e">
        <f t="shared" si="2"/>
        <v>#N/A</v>
      </c>
      <c r="L111" s="149"/>
      <c r="M111" s="149"/>
      <c r="N111" s="139">
        <v>9.9990000000000006</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10.125</v>
      </c>
      <c r="C112" s="145">
        <f>'NonQM (RT)'!C41</f>
        <v>105.50675000000001</v>
      </c>
      <c r="D112" s="145">
        <f>'NonQM (RT)'!D41</f>
        <v>105.20675000000001</v>
      </c>
      <c r="E112" s="146"/>
      <c r="F112" s="146"/>
      <c r="H112" s="140">
        <v>31</v>
      </c>
      <c r="I112" s="147">
        <f t="shared" si="0"/>
        <v>10.125</v>
      </c>
      <c r="J112" s="148" t="e">
        <f t="shared" si="1"/>
        <v>#N/A</v>
      </c>
      <c r="K112" s="148" t="e">
        <f t="shared" si="2"/>
        <v>#N/A</v>
      </c>
      <c r="L112" s="149"/>
      <c r="M112" s="149"/>
      <c r="N112" s="139">
        <v>10.125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10.25</v>
      </c>
      <c r="C113" s="145">
        <f>'NonQM (RT)'!C42</f>
        <v>105.69425000000001</v>
      </c>
      <c r="D113" s="145">
        <f>'NonQM (RT)'!D42</f>
        <v>105.39425000000001</v>
      </c>
      <c r="E113" s="146"/>
      <c r="F113" s="146"/>
      <c r="H113" s="140">
        <v>32</v>
      </c>
      <c r="I113" s="147">
        <f t="shared" si="0"/>
        <v>10.25</v>
      </c>
      <c r="J113" s="148" t="e">
        <f t="shared" si="1"/>
        <v>#N/A</v>
      </c>
      <c r="K113" s="148" t="e">
        <f t="shared" si="2"/>
        <v>#N/A</v>
      </c>
      <c r="L113" s="149"/>
      <c r="M113" s="149"/>
      <c r="N113" s="139">
        <v>10.25</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10.375</v>
      </c>
      <c r="C114" s="145">
        <f>'NonQM (RT)'!C43</f>
        <v>105.88175000000001</v>
      </c>
      <c r="D114" s="145">
        <f>'NonQM (RT)'!D43</f>
        <v>105.58175000000001</v>
      </c>
      <c r="E114" s="146"/>
      <c r="F114" s="146"/>
      <c r="H114" s="140">
        <v>33</v>
      </c>
      <c r="I114" s="147">
        <f t="shared" si="0"/>
        <v>10.375</v>
      </c>
      <c r="J114" s="148" t="e">
        <f t="shared" si="1"/>
        <v>#N/A</v>
      </c>
      <c r="K114" s="148" t="e">
        <f t="shared" si="2"/>
        <v>#N/A</v>
      </c>
      <c r="L114" s="149"/>
      <c r="M114" s="149"/>
      <c r="N114" s="139">
        <v>10.375</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10.499000000000001</v>
      </c>
      <c r="C115" s="145">
        <f>'NonQM (RT)'!C44</f>
        <v>106.00675000000001</v>
      </c>
      <c r="D115" s="145">
        <f>'NonQM (RT)'!D44</f>
        <v>105.70675000000001</v>
      </c>
      <c r="E115" s="146"/>
      <c r="F115" s="146"/>
      <c r="H115" s="140">
        <v>34</v>
      </c>
      <c r="I115" s="147">
        <f t="shared" si="0"/>
        <v>10.499000000000001</v>
      </c>
      <c r="J115" s="148" t="e">
        <f t="shared" si="1"/>
        <v>#N/A</v>
      </c>
      <c r="K115" s="148" t="e">
        <f t="shared" si="2"/>
        <v>#N/A</v>
      </c>
      <c r="L115" s="149"/>
      <c r="M115" s="149"/>
      <c r="N115" s="139">
        <v>10.499000000000001</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10.625</v>
      </c>
      <c r="C116" s="145">
        <f>'NonQM (RT)'!C45</f>
        <v>106.13175000000001</v>
      </c>
      <c r="D116" s="145">
        <f>'NonQM (RT)'!D45</f>
        <v>105.83175000000001</v>
      </c>
      <c r="E116" s="146"/>
      <c r="F116" s="146"/>
      <c r="H116" s="140">
        <v>35</v>
      </c>
      <c r="I116" s="147">
        <f t="shared" si="0"/>
        <v>10.625</v>
      </c>
      <c r="J116" s="148" t="e">
        <f t="shared" si="1"/>
        <v>#N/A</v>
      </c>
      <c r="K116" s="148" t="e">
        <f t="shared" si="2"/>
        <v>#N/A</v>
      </c>
      <c r="L116" s="149"/>
      <c r="M116" s="149"/>
      <c r="N116" s="139">
        <v>10.625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10.75</v>
      </c>
      <c r="C117" s="145">
        <f>'NonQM (RT)'!C46</f>
        <v>106.25675000000001</v>
      </c>
      <c r="D117" s="145">
        <f>'NonQM (RT)'!D46</f>
        <v>105.95675000000001</v>
      </c>
      <c r="E117" s="146"/>
      <c r="F117" s="146"/>
      <c r="H117" s="140">
        <v>36</v>
      </c>
      <c r="I117" s="147">
        <f t="shared" si="0"/>
        <v>10.75</v>
      </c>
      <c r="J117" s="148" t="e">
        <f t="shared" si="1"/>
        <v>#N/A</v>
      </c>
      <c r="K117" s="148" t="e">
        <f t="shared" si="2"/>
        <v>#N/A</v>
      </c>
      <c r="L117" s="149"/>
      <c r="M117" s="149"/>
      <c r="N117" s="139">
        <v>10.75</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0</v>
      </c>
      <c r="C118" s="145">
        <f>'NonQM (RT)'!C47</f>
        <v>0</v>
      </c>
      <c r="D118" s="145">
        <f>'NonQM (RT)'!D47</f>
        <v>0</v>
      </c>
      <c r="E118" s="146"/>
      <c r="F118" s="146"/>
      <c r="H118" s="140">
        <v>37</v>
      </c>
      <c r="I118" s="147">
        <f t="shared" si="0"/>
        <v>0</v>
      </c>
      <c r="J118" s="148" t="e">
        <f t="shared" si="1"/>
        <v>#N/A</v>
      </c>
      <c r="K118" s="148" t="e">
        <f t="shared" si="2"/>
        <v>#N/A</v>
      </c>
      <c r="L118" s="149"/>
      <c r="M118" s="149"/>
      <c r="N118" s="139">
        <v>0</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0</v>
      </c>
      <c r="C119" s="145">
        <f>'NonQM (RT)'!C48</f>
        <v>0</v>
      </c>
      <c r="D119" s="145">
        <f>'NonQM (RT)'!D48</f>
        <v>0</v>
      </c>
      <c r="E119" s="146"/>
      <c r="F119" s="146"/>
      <c r="H119" s="140">
        <v>38</v>
      </c>
      <c r="I119" s="147">
        <f t="shared" si="0"/>
        <v>0</v>
      </c>
      <c r="J119" s="148" t="e">
        <f t="shared" si="1"/>
        <v>#N/A</v>
      </c>
      <c r="K119" s="148" t="e">
        <f t="shared" si="2"/>
        <v>#N/A</v>
      </c>
      <c r="L119" s="149"/>
      <c r="M119" s="149"/>
      <c r="N119" s="139">
        <v>0</v>
      </c>
      <c r="P119" s="365"/>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0</v>
      </c>
      <c r="C120" s="145">
        <f>'NonQM (RT)'!C49</f>
        <v>0</v>
      </c>
      <c r="D120" s="145">
        <f>'NonQM (RT)'!D49</f>
        <v>0</v>
      </c>
      <c r="E120" s="146"/>
      <c r="F120" s="146"/>
      <c r="H120" s="140">
        <v>39</v>
      </c>
      <c r="I120" s="147">
        <f t="shared" si="0"/>
        <v>0</v>
      </c>
      <c r="J120" s="148" t="e">
        <f t="shared" si="1"/>
        <v>#N/A</v>
      </c>
      <c r="K120" s="148" t="e">
        <f t="shared" si="2"/>
        <v>#N/A</v>
      </c>
      <c r="L120" s="149"/>
      <c r="M120" s="149"/>
      <c r="N120" s="139">
        <v>0</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0</v>
      </c>
      <c r="C121" s="145">
        <f>'NonQM (RT)'!C50</f>
        <v>0</v>
      </c>
      <c r="D121" s="145">
        <f>'NonQM (RT)'!D50</f>
        <v>0</v>
      </c>
      <c r="E121" s="146"/>
      <c r="F121" s="146"/>
      <c r="H121" s="140">
        <v>40</v>
      </c>
      <c r="I121" s="147">
        <f t="shared" si="0"/>
        <v>0</v>
      </c>
      <c r="J121" s="148" t="e">
        <f t="shared" si="1"/>
        <v>#N/A</v>
      </c>
      <c r="K121" s="148" t="e">
        <f t="shared" si="2"/>
        <v>#N/A</v>
      </c>
      <c r="L121" s="149"/>
      <c r="M121" s="149"/>
      <c r="N121" s="139">
        <v>0</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78"/>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77"/>
      <c r="P124" s="477"/>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77"/>
      <c r="P125" s="477"/>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77"/>
      <c r="P126" s="477"/>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77"/>
      <c r="P127" s="477"/>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77"/>
      <c r="P128" s="477"/>
      <c r="AA128"/>
      <c r="AB128"/>
      <c r="AC128"/>
      <c r="AD128"/>
      <c r="AE128"/>
      <c r="AF128"/>
      <c r="AG128"/>
      <c r="AH128"/>
      <c r="AI128"/>
      <c r="AJ128"/>
      <c r="AK128"/>
      <c r="AL128"/>
      <c r="AM128"/>
      <c r="AN128"/>
    </row>
    <row r="129" spans="1:40" x14ac:dyDescent="0.25">
      <c r="B129" s="697" t="str">
        <f>'NonQM (RT)'!S55</f>
        <v>Max Price</v>
      </c>
      <c r="C129" s="698"/>
      <c r="D129" s="699"/>
      <c r="E129" s="165" t="s">
        <v>635</v>
      </c>
      <c r="F129"/>
      <c r="J129" s="159" t="e">
        <f ca="1">VLOOKUP(J126,H82:J125,3,FALSE)</f>
        <v>#N/A</v>
      </c>
      <c r="K129" s="160" t="e">
        <f ca="1">VLOOKUP(K126,H82:K125,4,FALSE)</f>
        <v>#N/A</v>
      </c>
      <c r="L129" s="166"/>
      <c r="M129" s="166"/>
      <c r="N129"/>
      <c r="O129" s="477"/>
      <c r="P129" s="477"/>
      <c r="AA129"/>
      <c r="AB129"/>
      <c r="AC129"/>
      <c r="AD129"/>
      <c r="AE129"/>
      <c r="AF129"/>
      <c r="AG129"/>
      <c r="AH129"/>
      <c r="AI129"/>
      <c r="AJ129"/>
      <c r="AK129"/>
      <c r="AL129"/>
      <c r="AM129"/>
      <c r="AN129"/>
    </row>
    <row r="130" spans="1:40" ht="15.75" thickBot="1" x14ac:dyDescent="0.3">
      <c r="B130" s="700" t="str">
        <f>'NonQM (RT)'!S56</f>
        <v>Owner/2nd Home</v>
      </c>
      <c r="C130" s="701"/>
      <c r="D130" s="483">
        <f>'NonQM (RT)'!T56</f>
        <v>101.5</v>
      </c>
      <c r="E130" s="471" t="str" cm="1">
        <f t="array" ref="E130">IF(OR('NonQM (RT)'!U23=L3:L4),D130,"")</f>
        <v/>
      </c>
      <c r="F130"/>
      <c r="J130" s="170">
        <f>IF(G89=J81,J129,0)</f>
        <v>0</v>
      </c>
      <c r="K130" s="171">
        <f>IF(G89=K81,K129,0)</f>
        <v>0</v>
      </c>
      <c r="L130" s="172"/>
      <c r="M130" s="173"/>
      <c r="N130" s="139">
        <f>SUM(J128:M128)</f>
        <v>0</v>
      </c>
      <c r="O130" s="477"/>
      <c r="P130" s="477"/>
      <c r="AA130"/>
      <c r="AB130"/>
      <c r="AC130"/>
      <c r="AD130"/>
      <c r="AE130"/>
      <c r="AF130"/>
      <c r="AG130"/>
      <c r="AH130"/>
      <c r="AI130"/>
      <c r="AJ130"/>
      <c r="AK130"/>
      <c r="AL130"/>
      <c r="AM130"/>
      <c r="AN130"/>
    </row>
    <row r="131" spans="1:40" x14ac:dyDescent="0.25">
      <c r="B131" s="700" t="str">
        <f>'NonQM (RT)'!S57</f>
        <v>&gt;$2,500,000</v>
      </c>
      <c r="C131" s="701"/>
      <c r="D131" s="484">
        <f>'NonQM (RT)'!T57</f>
        <v>100.5</v>
      </c>
      <c r="E131" s="471" t="str" cm="1">
        <f t="array" ref="E131">IF(OR('NonQM (RT)'!U21=G10:G13),D131,"")</f>
        <v/>
      </c>
      <c r="F131"/>
      <c r="AA131"/>
      <c r="AB131"/>
      <c r="AC131"/>
      <c r="AD131"/>
      <c r="AE131"/>
      <c r="AF131"/>
      <c r="AG131"/>
      <c r="AH131"/>
      <c r="AI131"/>
      <c r="AJ131"/>
      <c r="AK131"/>
      <c r="AL131"/>
      <c r="AM131"/>
      <c r="AN131"/>
    </row>
    <row r="132" spans="1:40" x14ac:dyDescent="0.25">
      <c r="B132" s="700" t="str">
        <f>'NonQM (RT)'!S58</f>
        <v>80.01-90.00% LTV</v>
      </c>
      <c r="C132" s="701"/>
      <c r="D132" s="484">
        <f>'NonQM (RT)'!T58</f>
        <v>100.5</v>
      </c>
      <c r="E132" s="471"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700" t="str">
        <f>'NonQM (RT)'!S59</f>
        <v>ITIN/Foreign National</v>
      </c>
      <c r="C133" s="701"/>
      <c r="D133" s="484">
        <f>'NonQM (RT)'!T59</f>
        <v>100</v>
      </c>
      <c r="E133" s="471"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700" t="str">
        <f>'NonQM (RT)'!S60</f>
        <v>Subord Financing</v>
      </c>
      <c r="C134" s="701"/>
      <c r="D134" s="484">
        <f>'NonQM (RT)'!T60</f>
        <v>100</v>
      </c>
      <c r="E134" s="471" t="str">
        <f>IF(OR('NonQM (RT)'!U32=S4),D134,"")</f>
        <v/>
      </c>
      <c r="F134"/>
      <c r="G134"/>
      <c r="H134"/>
      <c r="I134" s="690" t="s">
        <v>636</v>
      </c>
      <c r="J134" s="691"/>
      <c r="K134" s="174">
        <f>IF(L134="","",N130)</f>
        <v>0</v>
      </c>
      <c r="L134" s="175">
        <f>IF(N132&gt;E147,E147,N132)</f>
        <v>0</v>
      </c>
      <c r="M134"/>
      <c r="X134"/>
      <c r="Y134"/>
      <c r="Z134"/>
      <c r="AA134"/>
      <c r="AB134"/>
      <c r="AC134"/>
      <c r="AD134"/>
      <c r="AE134"/>
      <c r="AF134"/>
      <c r="AG134"/>
      <c r="AH134"/>
      <c r="AI134"/>
      <c r="AJ134"/>
      <c r="AK134"/>
    </row>
    <row r="135" spans="1:40" ht="15.75" thickBot="1" x14ac:dyDescent="0.3">
      <c r="B135" s="700" t="str">
        <f>'NonQM (RT)'!S61</f>
        <v>No PPP</v>
      </c>
      <c r="C135" s="701"/>
      <c r="D135" s="484">
        <f>'NonQM (RT)'!T61</f>
        <v>100</v>
      </c>
      <c r="E135" s="471" t="str">
        <f>IF(AND(ISNUMBER(MATCH('NonQM (RT)'!U23,L5:L6,0)),OR(ISNUMBER(MATCH('NonQM (RT)'!U27,H3:H4,0)),)),D135,"")</f>
        <v/>
      </c>
      <c r="F135"/>
      <c r="G135"/>
      <c r="H135"/>
      <c r="I135" s="695"/>
      <c r="J135" s="696"/>
      <c r="K135" s="176"/>
      <c r="L135" s="177"/>
      <c r="M135"/>
      <c r="X135"/>
      <c r="Y135"/>
      <c r="Z135"/>
      <c r="AA135"/>
      <c r="AB135"/>
      <c r="AC135"/>
      <c r="AD135"/>
      <c r="AE135"/>
      <c r="AF135"/>
      <c r="AG135"/>
      <c r="AH135"/>
      <c r="AI135"/>
      <c r="AJ135"/>
      <c r="AK135"/>
    </row>
    <row r="136" spans="1:40" x14ac:dyDescent="0.25">
      <c r="A136" s="89" t="s">
        <v>637</v>
      </c>
      <c r="B136" s="700" t="str">
        <f>'NonQM (RT)'!S62</f>
        <v>12 Months PPP</v>
      </c>
      <c r="C136" s="701"/>
      <c r="D136" s="484">
        <f>'NonQM (RT)'!T62</f>
        <v>101</v>
      </c>
      <c r="E136" s="471"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700" t="str">
        <f>'NonQM (RT)'!S63</f>
        <v>24 Months PPP</v>
      </c>
      <c r="C137" s="701"/>
      <c r="D137" s="483">
        <f>'NonQM (RT)'!T63</f>
        <v>101.5</v>
      </c>
      <c r="E137" s="471"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700" t="str">
        <f>'NonQM (RT)'!S64</f>
        <v>36-60 Months PPP</v>
      </c>
      <c r="C138" s="701"/>
      <c r="D138" s="483">
        <f>'NonQM (RT)'!T64</f>
        <v>102</v>
      </c>
      <c r="E138" s="471"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700" t="str">
        <f>'NonQM (RT)'!S57</f>
        <v>&gt;$2,500,000</v>
      </c>
      <c r="C139" s="701"/>
      <c r="D139" s="483">
        <f>'NonQM (RT)'!T57</f>
        <v>100.5</v>
      </c>
      <c r="E139" s="471"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700"/>
      <c r="C140" s="701"/>
      <c r="D140" s="483"/>
      <c r="E140" s="471"/>
      <c r="F140"/>
      <c r="G140"/>
      <c r="H140"/>
      <c r="I140"/>
      <c r="J140"/>
      <c r="K140"/>
      <c r="L140"/>
      <c r="M140"/>
    </row>
    <row r="141" spans="1:40" x14ac:dyDescent="0.25">
      <c r="B141" s="700"/>
      <c r="C141" s="701"/>
      <c r="D141" s="483"/>
      <c r="E141" s="471"/>
      <c r="F141"/>
      <c r="G141"/>
      <c r="H141"/>
      <c r="I141"/>
      <c r="J141"/>
      <c r="K141"/>
      <c r="L141"/>
      <c r="M141"/>
    </row>
    <row r="142" spans="1:40" x14ac:dyDescent="0.25">
      <c r="A142" s="89" t="s">
        <v>176</v>
      </c>
      <c r="B142" s="704"/>
      <c r="C142" s="705"/>
      <c r="D142" s="483"/>
      <c r="E142" s="472"/>
      <c r="F142"/>
      <c r="G142"/>
      <c r="H142"/>
      <c r="I142"/>
      <c r="J142"/>
      <c r="K142"/>
      <c r="L142"/>
      <c r="M142"/>
    </row>
    <row r="143" spans="1:40" x14ac:dyDescent="0.25">
      <c r="B143" s="704" t="str">
        <f>'NonQM (RT)'!S66</f>
        <v>NC Floor Price</v>
      </c>
      <c r="C143" s="705"/>
      <c r="D143" s="483">
        <f>'NonQM (RT)'!T66</f>
        <v>99.75</v>
      </c>
      <c r="E143" s="472" t="str" cm="1">
        <f t="array" ref="E143">IF(AND('NonQM (RT)'!S29=T16,OR('NonQM (RT)'!S23=L5:L6),'NonQM (RT)'!S27=H3),D143,"")</f>
        <v/>
      </c>
      <c r="F143"/>
      <c r="G143"/>
      <c r="H143"/>
      <c r="I143"/>
      <c r="J143"/>
      <c r="K143"/>
      <c r="L143"/>
      <c r="M143"/>
    </row>
    <row r="144" spans="1:40" x14ac:dyDescent="0.25">
      <c r="B144" s="700"/>
      <c r="C144" s="701"/>
      <c r="D144" s="485"/>
      <c r="E144" s="169"/>
      <c r="F144"/>
      <c r="G144"/>
      <c r="H144"/>
      <c r="I144"/>
      <c r="J144"/>
      <c r="K144"/>
      <c r="L144"/>
      <c r="M144"/>
    </row>
    <row r="145" spans="2:23" x14ac:dyDescent="0.25">
      <c r="B145" s="167"/>
      <c r="C145" s="168"/>
      <c r="D145" s="485"/>
      <c r="E145" s="169"/>
      <c r="F145"/>
      <c r="G145"/>
      <c r="H145"/>
      <c r="I145"/>
      <c r="J145"/>
      <c r="K145"/>
      <c r="L145"/>
      <c r="M145"/>
    </row>
    <row r="146" spans="2:23" ht="15.75" thickBot="1" x14ac:dyDescent="0.3">
      <c r="B146" s="486"/>
      <c r="C146" s="487"/>
      <c r="D146" s="488"/>
      <c r="E146" s="544"/>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76">
        <f>'NonQM (RT)'!T68</f>
        <v>6.99</v>
      </c>
      <c r="E150" s="169" t="str" cm="1">
        <f t="array" ref="E150">IF(OR('NonQM (RT)'!U21=G10:G13),D150,"")</f>
        <v/>
      </c>
      <c r="F150"/>
      <c r="G150"/>
      <c r="H150"/>
      <c r="I150"/>
      <c r="J150"/>
      <c r="K150"/>
      <c r="L150"/>
      <c r="M150"/>
    </row>
    <row r="151" spans="2:23" ht="15.75" thickBot="1" x14ac:dyDescent="0.3">
      <c r="B151" s="184" t="str">
        <f>'NonQM (RT)'!S69</f>
        <v>ITIN/Foreign National</v>
      </c>
      <c r="C151" s="185"/>
      <c r="D151" s="576">
        <f>'NonQM (RT)'!T69</f>
        <v>7.375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594"/>
      <c r="F159" s="596" t="s">
        <v>861</v>
      </c>
      <c r="G159"/>
      <c r="H159"/>
      <c r="I159"/>
      <c r="J159"/>
      <c r="K159"/>
      <c r="L159"/>
      <c r="M159"/>
      <c r="T159" s="452" t="s">
        <v>765</v>
      </c>
    </row>
    <row r="160" spans="2:23" x14ac:dyDescent="0.25">
      <c r="B160"/>
      <c r="C160"/>
      <c r="D160"/>
      <c r="E160"/>
      <c r="F160"/>
      <c r="G160"/>
      <c r="H160"/>
      <c r="I160"/>
      <c r="J160"/>
      <c r="K160"/>
      <c r="L160"/>
      <c r="M160"/>
      <c r="T160" s="452" t="s">
        <v>31</v>
      </c>
      <c r="U160" s="452" t="s">
        <v>765</v>
      </c>
      <c r="V160" s="453"/>
      <c r="W160" s="454"/>
    </row>
    <row r="161" spans="2:23" ht="35.25" customHeight="1" x14ac:dyDescent="0.25">
      <c r="B161" s="686" t="s">
        <v>11</v>
      </c>
      <c r="C161" s="687"/>
      <c r="D161" s="12" t="s">
        <v>12</v>
      </c>
      <c r="E161" s="12" t="s">
        <v>13</v>
      </c>
      <c r="F161" s="12" t="s">
        <v>14</v>
      </c>
      <c r="G161" s="12" t="s">
        <v>15</v>
      </c>
      <c r="H161" s="12" t="s">
        <v>16</v>
      </c>
      <c r="I161" s="12" t="s">
        <v>17</v>
      </c>
      <c r="J161" s="12" t="s">
        <v>18</v>
      </c>
      <c r="K161" s="12" t="s">
        <v>19</v>
      </c>
      <c r="L161" s="11" t="s">
        <v>20</v>
      </c>
      <c r="M161"/>
      <c r="O161" s="116" t="s">
        <v>639</v>
      </c>
      <c r="T161" s="457" t="s">
        <v>766</v>
      </c>
      <c r="U161" s="457" t="s">
        <v>766</v>
      </c>
      <c r="V161" s="455" t="s">
        <v>777</v>
      </c>
      <c r="W161" s="456">
        <v>0</v>
      </c>
    </row>
    <row r="162" spans="2:23" ht="27" x14ac:dyDescent="0.25">
      <c r="B162" s="643" t="s">
        <v>95</v>
      </c>
      <c r="C162" s="647"/>
      <c r="D162" s="647"/>
      <c r="E162" s="647"/>
      <c r="F162" s="647"/>
      <c r="G162" s="647"/>
      <c r="H162" s="647"/>
      <c r="I162" s="647"/>
      <c r="J162" s="647"/>
      <c r="K162" s="647"/>
      <c r="L162" s="644"/>
      <c r="M162"/>
      <c r="N162" s="99" t="s">
        <v>31</v>
      </c>
      <c r="O162" s="349" t="s">
        <v>52</v>
      </c>
      <c r="P162" s="350" t="s">
        <v>50</v>
      </c>
      <c r="Q162" s="350" t="s">
        <v>640</v>
      </c>
      <c r="R162" s="350" t="s">
        <v>641</v>
      </c>
      <c r="T162" s="457" t="s">
        <v>767</v>
      </c>
      <c r="U162" s="457" t="s">
        <v>767</v>
      </c>
      <c r="V162" s="455" t="s">
        <v>778</v>
      </c>
      <c r="W162" s="456">
        <v>0.15</v>
      </c>
    </row>
    <row r="163" spans="2:23" ht="27" x14ac:dyDescent="0.25">
      <c r="B163" s="345" t="s">
        <v>213</v>
      </c>
      <c r="C163" s="346"/>
      <c r="D163" s="21">
        <v>0</v>
      </c>
      <c r="E163" s="21">
        <v>0</v>
      </c>
      <c r="F163" s="21">
        <v>0</v>
      </c>
      <c r="G163" s="21">
        <v>0</v>
      </c>
      <c r="H163" s="21">
        <v>0</v>
      </c>
      <c r="I163" s="21">
        <v>0</v>
      </c>
      <c r="J163" s="21">
        <v>0</v>
      </c>
      <c r="K163" s="21">
        <v>0</v>
      </c>
      <c r="L163" s="22">
        <v>0</v>
      </c>
      <c r="M163"/>
      <c r="N163" s="8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7" t="s">
        <v>768</v>
      </c>
      <c r="U163" s="457" t="s">
        <v>768</v>
      </c>
      <c r="V163" s="455" t="s">
        <v>779</v>
      </c>
      <c r="W163" s="456">
        <v>0.25</v>
      </c>
    </row>
    <row r="164" spans="2:23" x14ac:dyDescent="0.25">
      <c r="B164" s="345" t="s">
        <v>238</v>
      </c>
      <c r="C164" s="346"/>
      <c r="D164" s="593">
        <f>'NonQM (RT)'!H51</f>
        <v>0</v>
      </c>
      <c r="E164" s="593">
        <f>'NonQM (RT)'!I51</f>
        <v>0</v>
      </c>
      <c r="F164" s="593">
        <f>'NonQM (RT)'!J51</f>
        <v>-0.125</v>
      </c>
      <c r="G164" s="593">
        <f>'NonQM (RT)'!K51</f>
        <v>-0.375</v>
      </c>
      <c r="H164" s="593">
        <f>'NonQM (RT)'!L51</f>
        <v>-0.375</v>
      </c>
      <c r="I164" s="593">
        <f>'NonQM (RT)'!M51</f>
        <v>-0.375</v>
      </c>
      <c r="J164" s="593">
        <f>'NonQM (RT)'!N51</f>
        <v>-0.375</v>
      </c>
      <c r="K164" s="593">
        <f>'NonQM (RT)'!O51</f>
        <v>-0.5</v>
      </c>
      <c r="L164" s="593" t="e">
        <f>'NonQM (RT)'!P51</f>
        <v>#N/A</v>
      </c>
      <c r="M164"/>
      <c r="N164" s="89" t="s">
        <v>53</v>
      </c>
      <c r="O164" s="348" t="str">
        <f>'NonQM (RT)'!$U$11</f>
        <v>Choose a Selection</v>
      </c>
      <c r="P164" s="348" t="str">
        <f>'NonQM (RT)'!$U$11</f>
        <v>Choose a Selection</v>
      </c>
      <c r="Q164" s="348" t="str">
        <f>'NonQM (RT)'!$U$11</f>
        <v>Choose a Selection</v>
      </c>
      <c r="R164" s="348" t="str">
        <f>'NonQM (RT)'!$U$11</f>
        <v>Choose a Selection</v>
      </c>
      <c r="U164"/>
      <c r="V164"/>
      <c r="W164"/>
    </row>
    <row r="165" spans="2:23" x14ac:dyDescent="0.25">
      <c r="B165" s="345" t="s">
        <v>97</v>
      </c>
      <c r="C165" s="346"/>
      <c r="D165" s="21">
        <v>-0.25</v>
      </c>
      <c r="E165" s="21">
        <v>-0.25</v>
      </c>
      <c r="F165" s="21">
        <v>-0.25</v>
      </c>
      <c r="G165" s="21">
        <v>-0.5</v>
      </c>
      <c r="H165" s="21">
        <v>-0.5</v>
      </c>
      <c r="I165" s="21">
        <v>-0.5</v>
      </c>
      <c r="J165" s="21">
        <v>-0.5</v>
      </c>
      <c r="K165" s="21">
        <v>-0.5</v>
      </c>
      <c r="L165" s="22" t="e">
        <v>#N/A</v>
      </c>
      <c r="M165"/>
      <c r="N165" s="89" t="s">
        <v>230</v>
      </c>
      <c r="O165" s="348" t="str">
        <f>'NonQM (RT)'!U25</f>
        <v>30YR Fixed</v>
      </c>
      <c r="P165" s="348" t="str">
        <f>'NonQM (RT)'!U24</f>
        <v>Choose a Selection</v>
      </c>
      <c r="Q165" s="348" t="str">
        <f>'NonQM (RT)'!U20</f>
        <v>Choose a Selection</v>
      </c>
      <c r="R165" s="348" t="str">
        <f>'NonQM (RT)'!U19</f>
        <v>Choose a Selection</v>
      </c>
      <c r="U165"/>
      <c r="V165"/>
      <c r="W165"/>
    </row>
    <row r="166" spans="2:23" x14ac:dyDescent="0.25">
      <c r="B166" s="345" t="s">
        <v>229</v>
      </c>
      <c r="C166" s="346"/>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5" t="s">
        <v>237</v>
      </c>
      <c r="C167" s="346"/>
      <c r="D167" s="21">
        <v>0</v>
      </c>
      <c r="E167" s="21">
        <v>0</v>
      </c>
      <c r="F167" s="21">
        <v>0</v>
      </c>
      <c r="G167" s="21">
        <v>0</v>
      </c>
      <c r="H167" s="21">
        <v>0</v>
      </c>
      <c r="I167" s="21">
        <v>0</v>
      </c>
      <c r="J167" s="21">
        <v>0</v>
      </c>
      <c r="K167" s="21">
        <v>0</v>
      </c>
      <c r="L167" s="22" t="e">
        <v>#N/A</v>
      </c>
      <c r="M167"/>
      <c r="N167" s="89" t="s">
        <v>140</v>
      </c>
      <c r="O167" s="350" t="s">
        <v>30</v>
      </c>
      <c r="P167" s="350" t="s">
        <v>49</v>
      </c>
      <c r="Q167" s="350" t="s">
        <v>55</v>
      </c>
      <c r="R167" s="350" t="s">
        <v>202</v>
      </c>
    </row>
    <row r="168" spans="2:23" x14ac:dyDescent="0.25">
      <c r="B168" s="345" t="s">
        <v>98</v>
      </c>
      <c r="C168" s="346"/>
      <c r="D168" s="21">
        <v>-1</v>
      </c>
      <c r="E168" s="21">
        <v>-1</v>
      </c>
      <c r="F168" s="21">
        <v>-1</v>
      </c>
      <c r="G168" s="21">
        <v>-1</v>
      </c>
      <c r="H168" s="21">
        <v>-1.25</v>
      </c>
      <c r="I168" s="21">
        <v>-1.5</v>
      </c>
      <c r="J168" s="21" t="e">
        <v>#N/A</v>
      </c>
      <c r="K168" s="21" t="e">
        <v>#N/A</v>
      </c>
      <c r="L168" s="22" t="e">
        <v>#N/A</v>
      </c>
      <c r="M168"/>
      <c r="N168" s="8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1">
        <v>0</v>
      </c>
      <c r="E169" s="21">
        <v>0</v>
      </c>
      <c r="F169" s="21">
        <v>0</v>
      </c>
      <c r="G169" s="21">
        <v>0</v>
      </c>
      <c r="H169" s="21">
        <v>0</v>
      </c>
      <c r="I169" s="21">
        <v>0</v>
      </c>
      <c r="J169" s="21">
        <v>0</v>
      </c>
      <c r="K169" s="21">
        <v>0</v>
      </c>
      <c r="L169" s="22" t="e">
        <v>#N/A</v>
      </c>
      <c r="M169"/>
      <c r="N169" s="89" t="s">
        <v>249</v>
      </c>
      <c r="O169" s="348" t="str">
        <f>'NonQM (RT)'!$U$11</f>
        <v>Choose a Selection</v>
      </c>
      <c r="P169" s="352" t="str">
        <f>'NonQM (RT)'!$U$11</f>
        <v>Choose a Selection</v>
      </c>
      <c r="Q169" s="352" t="str">
        <f>'NonQM (RT)'!$U$11</f>
        <v>Choose a Selection</v>
      </c>
      <c r="R169" s="352" t="str">
        <f>'NonQM (RT)'!$U$11</f>
        <v>Choose a Selection</v>
      </c>
    </row>
    <row r="170" spans="2:23" x14ac:dyDescent="0.25">
      <c r="B170" s="345" t="s">
        <v>100</v>
      </c>
      <c r="C170" s="346"/>
      <c r="D170" s="21">
        <v>-0.125</v>
      </c>
      <c r="E170" s="21">
        <v>-0.125</v>
      </c>
      <c r="F170" s="21">
        <v>-0.25</v>
      </c>
      <c r="G170" s="21">
        <v>-0.25</v>
      </c>
      <c r="H170" s="21">
        <v>-0.25</v>
      </c>
      <c r="I170" s="21">
        <v>-0.5</v>
      </c>
      <c r="J170" s="21">
        <v>-0.625</v>
      </c>
      <c r="K170" s="21" t="e">
        <v>#N/A</v>
      </c>
      <c r="L170" s="22" t="e">
        <v>#N/A</v>
      </c>
      <c r="M170"/>
      <c r="N170" s="89" t="s">
        <v>144</v>
      </c>
      <c r="O170" s="351" t="str">
        <f>'NonQM (RT)'!U14</f>
        <v>Choose a Selection</v>
      </c>
      <c r="P170" s="347" t="str">
        <f>'NonQM (RT)'!U23</f>
        <v>Choose a Selection</v>
      </c>
      <c r="Q170" s="347" t="str">
        <f>'NonQM (RT)'!U26</f>
        <v>Escrow Not Waived</v>
      </c>
      <c r="R170" s="347" t="str">
        <f>'NonQM (RT)'!U30</f>
        <v>30 Day</v>
      </c>
    </row>
    <row r="171" spans="2:23" x14ac:dyDescent="0.25">
      <c r="B171" s="345" t="s">
        <v>248</v>
      </c>
      <c r="C171" s="346"/>
      <c r="D171" s="21">
        <v>0</v>
      </c>
      <c r="E171" s="21">
        <v>0</v>
      </c>
      <c r="F171" s="21">
        <v>0</v>
      </c>
      <c r="G171" s="21">
        <v>0</v>
      </c>
      <c r="H171" s="21">
        <v>0</v>
      </c>
      <c r="I171" s="21">
        <v>0</v>
      </c>
      <c r="J171" s="21">
        <v>0</v>
      </c>
      <c r="K171" s="21">
        <v>0</v>
      </c>
      <c r="L171" s="22">
        <v>0</v>
      </c>
      <c r="M171"/>
      <c r="N171" s="89" t="s">
        <v>147</v>
      </c>
    </row>
    <row r="172" spans="2:23" x14ac:dyDescent="0.25">
      <c r="B172" s="345" t="s">
        <v>212</v>
      </c>
      <c r="C172" s="346"/>
      <c r="D172" s="21">
        <v>0</v>
      </c>
      <c r="E172" s="21">
        <v>0</v>
      </c>
      <c r="F172" s="21">
        <v>0</v>
      </c>
      <c r="G172" s="21">
        <v>0</v>
      </c>
      <c r="H172" s="21">
        <v>0</v>
      </c>
      <c r="I172" s="21">
        <v>0</v>
      </c>
      <c r="J172" s="21">
        <v>0</v>
      </c>
      <c r="K172" s="21">
        <v>0</v>
      </c>
      <c r="L172" s="22">
        <v>0</v>
      </c>
      <c r="M172"/>
      <c r="N172" s="89" t="s">
        <v>252</v>
      </c>
      <c r="O172" s="476"/>
    </row>
    <row r="173" spans="2:23" ht="15.75" thickBot="1" x14ac:dyDescent="0.3">
      <c r="B173" s="345" t="s">
        <v>177</v>
      </c>
      <c r="C173" s="346"/>
      <c r="D173" s="21">
        <v>0</v>
      </c>
      <c r="E173" s="21">
        <v>0</v>
      </c>
      <c r="F173" s="21">
        <v>0</v>
      </c>
      <c r="G173" s="21">
        <v>0</v>
      </c>
      <c r="H173" s="21">
        <v>0</v>
      </c>
      <c r="I173" s="21">
        <v>0</v>
      </c>
      <c r="J173" s="21">
        <v>0</v>
      </c>
      <c r="K173" s="21">
        <v>0</v>
      </c>
      <c r="L173" s="22">
        <v>0</v>
      </c>
      <c r="M173"/>
      <c r="N173" s="89" t="s">
        <v>150</v>
      </c>
      <c r="O173" s="116" t="s">
        <v>176</v>
      </c>
    </row>
    <row r="174" spans="2:23" x14ac:dyDescent="0.25">
      <c r="B174" s="422" t="s">
        <v>143</v>
      </c>
      <c r="C174" s="423"/>
      <c r="D174" s="423"/>
      <c r="E174" s="423"/>
      <c r="F174" s="423"/>
      <c r="G174" s="423"/>
      <c r="H174" s="423"/>
      <c r="I174" s="423"/>
      <c r="J174" s="423"/>
      <c r="K174" s="423"/>
      <c r="L174" s="424"/>
      <c r="M174"/>
      <c r="N174" s="99" t="s">
        <v>211</v>
      </c>
      <c r="O174" s="349" t="s">
        <v>52</v>
      </c>
      <c r="P174" s="350" t="s">
        <v>50</v>
      </c>
      <c r="Q174" s="350" t="s">
        <v>640</v>
      </c>
      <c r="R174" s="350" t="s">
        <v>641</v>
      </c>
    </row>
    <row r="175" spans="2:23" x14ac:dyDescent="0.25">
      <c r="B175" s="343" t="s">
        <v>230</v>
      </c>
      <c r="C175" s="344"/>
      <c r="D175" s="21">
        <v>-0.25</v>
      </c>
      <c r="E175" s="21">
        <v>-0.25</v>
      </c>
      <c r="F175" s="21">
        <v>-0.5</v>
      </c>
      <c r="G175" s="21">
        <v>-0.5</v>
      </c>
      <c r="H175" s="21">
        <v>-0.5</v>
      </c>
      <c r="I175" s="21">
        <v>-0.5</v>
      </c>
      <c r="J175" s="21">
        <v>-0.5</v>
      </c>
      <c r="K175" s="21" t="e">
        <v>#N/A</v>
      </c>
      <c r="L175" s="22" t="e">
        <v>#N/A</v>
      </c>
      <c r="M175"/>
      <c r="N175" s="9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8" t="e">
        <f>#REF!</f>
        <v>#REF!</v>
      </c>
      <c r="P176" s="348" t="e">
        <f>#REF!</f>
        <v>#REF!</v>
      </c>
      <c r="Q176" s="348" t="e">
        <f>#REF!</f>
        <v>#REF!</v>
      </c>
      <c r="R176" s="348" t="e">
        <f>#REF!</f>
        <v>#REF!</v>
      </c>
    </row>
    <row r="177" spans="2:18" x14ac:dyDescent="0.25">
      <c r="B177" s="343" t="s">
        <v>249</v>
      </c>
      <c r="C177" s="344"/>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8" t="e">
        <f>#REF!</f>
        <v>#REF!</v>
      </c>
      <c r="P177" s="348" t="e">
        <f>#REF!</f>
        <v>#REF!</v>
      </c>
      <c r="Q177" s="348" t="str">
        <f>'NonQM (RT)'!U32</f>
        <v>No</v>
      </c>
      <c r="R177" s="348" t="e">
        <f>#REF!</f>
        <v>#REF!</v>
      </c>
    </row>
    <row r="178" spans="2:18" x14ac:dyDescent="0.25">
      <c r="B178" s="343" t="s">
        <v>252</v>
      </c>
      <c r="C178" s="344"/>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3" t="s">
        <v>135</v>
      </c>
      <c r="C179" s="344"/>
      <c r="D179" s="21">
        <v>0.25</v>
      </c>
      <c r="E179" s="21">
        <v>0.25</v>
      </c>
      <c r="F179" s="21">
        <v>0.25</v>
      </c>
      <c r="G179" s="21">
        <v>0.25</v>
      </c>
      <c r="H179" s="21">
        <v>0.25</v>
      </c>
      <c r="I179" s="21">
        <v>0.25</v>
      </c>
      <c r="J179" s="21">
        <v>0.25</v>
      </c>
      <c r="K179" s="21">
        <v>0.25</v>
      </c>
      <c r="L179" s="22">
        <v>0.25</v>
      </c>
      <c r="M179"/>
      <c r="N179" s="99" t="s">
        <v>157</v>
      </c>
      <c r="O179" s="350" t="s">
        <v>30</v>
      </c>
      <c r="P179" s="350" t="s">
        <v>49</v>
      </c>
      <c r="Q179" s="350" t="s">
        <v>55</v>
      </c>
      <c r="R179" s="350" t="s">
        <v>202</v>
      </c>
    </row>
    <row r="180" spans="2:18" x14ac:dyDescent="0.25">
      <c r="B180" s="343" t="s">
        <v>53</v>
      </c>
      <c r="C180" s="344"/>
      <c r="D180" s="21">
        <v>0</v>
      </c>
      <c r="E180" s="21">
        <v>0</v>
      </c>
      <c r="F180" s="21">
        <v>0</v>
      </c>
      <c r="G180" s="21">
        <v>0</v>
      </c>
      <c r="H180" s="21">
        <v>0</v>
      </c>
      <c r="I180" s="21">
        <v>0</v>
      </c>
      <c r="J180" s="21">
        <v>0</v>
      </c>
      <c r="K180" s="21">
        <v>0</v>
      </c>
      <c r="L180" s="22">
        <v>0</v>
      </c>
      <c r="M180"/>
      <c r="N180" s="9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1">
        <v>-0.5</v>
      </c>
      <c r="E181" s="21">
        <v>-0.5</v>
      </c>
      <c r="F181" s="21">
        <v>-0.5</v>
      </c>
      <c r="G181" s="21">
        <v>-0.5</v>
      </c>
      <c r="H181" s="21">
        <v>-0.5</v>
      </c>
      <c r="I181" s="21">
        <v>-0.5</v>
      </c>
      <c r="J181" s="21">
        <v>-0.5</v>
      </c>
      <c r="K181" s="21">
        <v>-0.5</v>
      </c>
      <c r="L181" s="22">
        <v>-0.5</v>
      </c>
      <c r="M181"/>
      <c r="N181" s="99" t="s">
        <v>222</v>
      </c>
      <c r="O181" s="348" t="e">
        <f>#REF!</f>
        <v>#REF!</v>
      </c>
      <c r="P181" s="352" t="e">
        <f>#REF!</f>
        <v>#REF!</v>
      </c>
      <c r="Q181" s="352" t="e">
        <f>#REF!</f>
        <v>#REF!</v>
      </c>
      <c r="R181" s="352" t="e">
        <f>#REF!</f>
        <v>#REF!</v>
      </c>
    </row>
    <row r="182" spans="2:18" x14ac:dyDescent="0.25">
      <c r="B182" s="343" t="s">
        <v>142</v>
      </c>
      <c r="C182" s="344"/>
      <c r="D182" s="21">
        <v>0.25</v>
      </c>
      <c r="E182" s="21">
        <v>0.25</v>
      </c>
      <c r="F182" s="21">
        <v>0.25</v>
      </c>
      <c r="G182" s="21">
        <v>0.25</v>
      </c>
      <c r="H182" s="21">
        <v>0.25</v>
      </c>
      <c r="I182" s="21">
        <v>0.25</v>
      </c>
      <c r="J182" s="21">
        <v>0.25</v>
      </c>
      <c r="K182" s="21">
        <v>0.25</v>
      </c>
      <c r="L182" s="21">
        <v>0.25</v>
      </c>
      <c r="N182" s="99" t="s">
        <v>231</v>
      </c>
      <c r="O182" s="351" t="e">
        <f>#REF!</f>
        <v>#REF!</v>
      </c>
      <c r="P182" s="347" t="e">
        <f>#REF!</f>
        <v>#REF!</v>
      </c>
      <c r="Q182" s="347" t="e">
        <f>#REF!</f>
        <v>#REF!</v>
      </c>
      <c r="R182" s="347" t="e">
        <f>#REF!</f>
        <v>#REF!</v>
      </c>
    </row>
    <row r="183" spans="2:18" x14ac:dyDescent="0.25">
      <c r="B183" s="343" t="s">
        <v>144</v>
      </c>
      <c r="C183" s="344"/>
      <c r="D183" s="21">
        <v>-0.5</v>
      </c>
      <c r="E183" s="21">
        <v>-0.5</v>
      </c>
      <c r="F183" s="21">
        <v>-0.5</v>
      </c>
      <c r="G183" s="21">
        <v>-0.5</v>
      </c>
      <c r="H183" s="21">
        <v>-0.5</v>
      </c>
      <c r="I183" s="21">
        <v>-0.5</v>
      </c>
      <c r="J183" s="21">
        <v>-0.5</v>
      </c>
      <c r="K183" s="21">
        <v>-0.5</v>
      </c>
      <c r="L183" s="22">
        <v>-0.5</v>
      </c>
      <c r="N183" s="99" t="s">
        <v>212</v>
      </c>
    </row>
    <row r="184" spans="2:18" x14ac:dyDescent="0.25">
      <c r="B184" s="343" t="s">
        <v>147</v>
      </c>
      <c r="C184" s="344"/>
      <c r="D184" s="21">
        <v>0.25</v>
      </c>
      <c r="E184" s="21">
        <v>0.25</v>
      </c>
      <c r="F184" s="21">
        <v>0.25</v>
      </c>
      <c r="G184" s="21">
        <v>0.25</v>
      </c>
      <c r="H184" s="21">
        <v>0.25</v>
      </c>
      <c r="I184" s="21">
        <v>0.25</v>
      </c>
      <c r="J184" s="21">
        <v>0.25</v>
      </c>
      <c r="K184" s="21">
        <v>0.25</v>
      </c>
      <c r="L184" s="21">
        <v>0.25</v>
      </c>
      <c r="N184" s="99" t="s">
        <v>99</v>
      </c>
      <c r="O184" s="350" t="s">
        <v>643</v>
      </c>
    </row>
    <row r="185" spans="2:18" x14ac:dyDescent="0.25">
      <c r="B185" s="343" t="s">
        <v>150</v>
      </c>
      <c r="C185" s="344"/>
      <c r="D185" s="21">
        <v>-0.5</v>
      </c>
      <c r="E185" s="21">
        <v>-0.5</v>
      </c>
      <c r="F185" s="21">
        <v>-0.5</v>
      </c>
      <c r="G185" s="21">
        <v>-0.5</v>
      </c>
      <c r="H185" s="21">
        <v>-0.5</v>
      </c>
      <c r="I185" s="21">
        <v>-0.5</v>
      </c>
      <c r="J185" s="21">
        <v>-0.5</v>
      </c>
      <c r="K185" s="21">
        <v>-0.5</v>
      </c>
      <c r="L185" s="22">
        <v>-0.5</v>
      </c>
      <c r="N185" s="99" t="s">
        <v>100</v>
      </c>
      <c r="O185" s="351" t="e">
        <f>IF(OR($O$186="", $O$187="", $O$187="Choose a Selection"),0,
   INDEX($D$163:$L$218,
         MATCH($O$187,$B$163:$B$218,0),
         MATCH($O$186,$D$161:$L$161,0)))</f>
        <v>#REF!</v>
      </c>
    </row>
    <row r="186" spans="2:18" x14ac:dyDescent="0.25">
      <c r="B186" s="343" t="s">
        <v>151</v>
      </c>
      <c r="C186" s="344"/>
      <c r="D186" s="593">
        <f>'NonQM (RT)'!H72</f>
        <v>0</v>
      </c>
      <c r="E186" s="593">
        <f>'NonQM (RT)'!I72</f>
        <v>0</v>
      </c>
      <c r="F186" s="593">
        <f>'NonQM (RT)'!J72</f>
        <v>0</v>
      </c>
      <c r="G186" s="593">
        <f>'NonQM (RT)'!K72</f>
        <v>0</v>
      </c>
      <c r="H186" s="593">
        <f>'NonQM (RT)'!L72</f>
        <v>0</v>
      </c>
      <c r="I186" s="593">
        <f>'NonQM (RT)'!M72</f>
        <v>0</v>
      </c>
      <c r="J186" s="593">
        <f>'NonQM (RT)'!N72</f>
        <v>0</v>
      </c>
      <c r="K186" s="593">
        <f>'NonQM (RT)'!O72</f>
        <v>-0.25</v>
      </c>
      <c r="L186" s="595">
        <f>'NonQM (RT)'!P72</f>
        <v>-0.5</v>
      </c>
      <c r="N186" s="99" t="s">
        <v>237</v>
      </c>
      <c r="O186" s="348" t="e">
        <f>#REF!</f>
        <v>#REF!</v>
      </c>
    </row>
    <row r="187" spans="2:18" x14ac:dyDescent="0.25">
      <c r="B187" s="343" t="s">
        <v>56</v>
      </c>
      <c r="C187" s="344"/>
      <c r="D187" s="21">
        <v>0</v>
      </c>
      <c r="E187" s="21">
        <v>0</v>
      </c>
      <c r="F187" s="21">
        <v>0</v>
      </c>
      <c r="G187" s="21">
        <v>0</v>
      </c>
      <c r="H187" s="21">
        <v>0</v>
      </c>
      <c r="I187" s="21">
        <v>0</v>
      </c>
      <c r="J187" s="21">
        <v>0</v>
      </c>
      <c r="K187" s="21">
        <v>0</v>
      </c>
      <c r="L187" s="22">
        <v>0</v>
      </c>
      <c r="N187" s="89" t="s">
        <v>242</v>
      </c>
      <c r="O187" s="351" t="e">
        <f>#REF!</f>
        <v>#REF!</v>
      </c>
    </row>
    <row r="188" spans="2:18" x14ac:dyDescent="0.25">
      <c r="B188" s="343" t="s">
        <v>211</v>
      </c>
      <c r="C188" s="344"/>
      <c r="D188" s="21">
        <v>0</v>
      </c>
      <c r="E188" s="21">
        <v>0</v>
      </c>
      <c r="F188" s="21">
        <v>0</v>
      </c>
      <c r="G188" s="21">
        <v>0</v>
      </c>
      <c r="H188" s="21">
        <v>0</v>
      </c>
      <c r="I188" s="21">
        <v>0</v>
      </c>
      <c r="J188" s="21">
        <v>0</v>
      </c>
      <c r="K188" s="21">
        <v>0</v>
      </c>
      <c r="L188" s="22">
        <v>0</v>
      </c>
      <c r="N188" s="99" t="s">
        <v>98</v>
      </c>
    </row>
    <row r="189" spans="2:18" x14ac:dyDescent="0.25">
      <c r="B189" s="343" t="s">
        <v>221</v>
      </c>
      <c r="C189" s="344"/>
      <c r="D189" s="21">
        <v>0</v>
      </c>
      <c r="E189" s="21">
        <v>0</v>
      </c>
      <c r="F189" s="21">
        <v>-0.125</v>
      </c>
      <c r="G189" s="21">
        <v>-0.25</v>
      </c>
      <c r="H189" s="21">
        <v>-0.25</v>
      </c>
      <c r="I189" s="21">
        <v>-0.25</v>
      </c>
      <c r="J189" s="21">
        <v>-0.25</v>
      </c>
      <c r="K189" s="21">
        <v>-0.5</v>
      </c>
      <c r="L189" s="22" t="e">
        <v>#N/A</v>
      </c>
      <c r="N189" s="99" t="s">
        <v>248</v>
      </c>
    </row>
    <row r="190" spans="2:18" x14ac:dyDescent="0.25">
      <c r="B190" s="343" t="s">
        <v>228</v>
      </c>
      <c r="C190" s="344"/>
      <c r="D190" s="21">
        <v>-0.25</v>
      </c>
      <c r="E190" s="21">
        <v>-0.25</v>
      </c>
      <c r="F190" s="21">
        <v>-0.25</v>
      </c>
      <c r="G190" s="21">
        <v>-0.375</v>
      </c>
      <c r="H190" s="21">
        <v>-0.5</v>
      </c>
      <c r="I190" s="21">
        <v>-0.625</v>
      </c>
      <c r="J190" s="21">
        <v>-1</v>
      </c>
      <c r="K190" s="21" t="e">
        <v>#N/A</v>
      </c>
      <c r="L190" s="22" t="e">
        <v>#N/A</v>
      </c>
      <c r="N190" s="89" t="s">
        <v>195</v>
      </c>
    </row>
    <row r="191" spans="2:18" x14ac:dyDescent="0.25">
      <c r="B191" s="343" t="s">
        <v>216</v>
      </c>
      <c r="C191" s="344"/>
      <c r="D191" s="21">
        <v>0</v>
      </c>
      <c r="E191" s="21">
        <v>0</v>
      </c>
      <c r="F191" s="21">
        <v>0</v>
      </c>
      <c r="G191" s="21">
        <v>0</v>
      </c>
      <c r="H191" s="21">
        <v>0</v>
      </c>
      <c r="I191" s="21">
        <v>0</v>
      </c>
      <c r="J191" s="21">
        <v>0</v>
      </c>
      <c r="K191" s="21">
        <v>0</v>
      </c>
      <c r="L191" s="22">
        <v>0</v>
      </c>
    </row>
    <row r="192" spans="2:18" x14ac:dyDescent="0.25">
      <c r="B192" s="343" t="s">
        <v>157</v>
      </c>
      <c r="C192" s="344"/>
      <c r="D192" s="593">
        <f>'NonQM (RT)'!H75</f>
        <v>-2</v>
      </c>
      <c r="E192" s="593">
        <f>'NonQM (RT)'!I75</f>
        <v>-2</v>
      </c>
      <c r="F192" s="593">
        <f>'NonQM (RT)'!J75</f>
        <v>-2.5</v>
      </c>
      <c r="G192" s="593">
        <f>'NonQM (RT)'!K75</f>
        <v>-2.5</v>
      </c>
      <c r="H192" s="593">
        <f>'NonQM (RT)'!L75</f>
        <v>-2.5</v>
      </c>
      <c r="I192" s="593">
        <f>'NonQM (RT)'!M75</f>
        <v>-2.5</v>
      </c>
      <c r="J192" s="593">
        <f>'NonQM (RT)'!N75</f>
        <v>-2.75</v>
      </c>
      <c r="K192" s="593">
        <f>'NonQM (RT)'!O75</f>
        <v>-3</v>
      </c>
      <c r="L192" s="595" t="e">
        <f>'NonQM (RT)'!P75</f>
        <v>#N/A</v>
      </c>
      <c r="N192"/>
      <c r="O192" s="477"/>
    </row>
    <row r="193" spans="2:16" x14ac:dyDescent="0.25">
      <c r="B193" s="343" t="s">
        <v>160</v>
      </c>
      <c r="C193" s="344"/>
      <c r="D193" s="21">
        <v>-1.5</v>
      </c>
      <c r="E193" s="21">
        <v>-1.5</v>
      </c>
      <c r="F193" s="21">
        <v>-1.5</v>
      </c>
      <c r="G193" s="21">
        <v>-1.5</v>
      </c>
      <c r="H193" s="21">
        <v>-2</v>
      </c>
      <c r="I193" s="21">
        <v>-2</v>
      </c>
      <c r="J193" s="21" t="e">
        <v>#N/A</v>
      </c>
      <c r="K193" s="21" t="e">
        <v>#N/A</v>
      </c>
      <c r="L193" s="22" t="e">
        <v>#N/A</v>
      </c>
      <c r="N193"/>
      <c r="O193" s="477"/>
    </row>
    <row r="194" spans="2:16" x14ac:dyDescent="0.25">
      <c r="B194" s="343" t="s">
        <v>222</v>
      </c>
      <c r="C194" s="344"/>
      <c r="D194" s="21">
        <v>0</v>
      </c>
      <c r="E194" s="21">
        <v>0</v>
      </c>
      <c r="F194" s="21">
        <v>0</v>
      </c>
      <c r="G194" s="21">
        <v>0</v>
      </c>
      <c r="H194" s="21">
        <v>0</v>
      </c>
      <c r="I194" s="21">
        <v>0</v>
      </c>
      <c r="J194" s="21">
        <v>0</v>
      </c>
      <c r="K194" s="21">
        <v>0</v>
      </c>
      <c r="L194" s="22">
        <v>0</v>
      </c>
      <c r="N194"/>
      <c r="O194" s="477"/>
    </row>
    <row r="195" spans="2:16" x14ac:dyDescent="0.25">
      <c r="B195" s="343" t="s">
        <v>231</v>
      </c>
      <c r="C195" s="344"/>
      <c r="D195" s="21">
        <v>0</v>
      </c>
      <c r="E195" s="21">
        <v>0</v>
      </c>
      <c r="F195" s="21">
        <v>0</v>
      </c>
      <c r="G195" s="21">
        <v>0</v>
      </c>
      <c r="H195" s="21">
        <v>0</v>
      </c>
      <c r="I195" s="21">
        <v>0</v>
      </c>
      <c r="J195" s="21">
        <v>0</v>
      </c>
      <c r="K195" s="21">
        <v>0</v>
      </c>
      <c r="L195" s="22">
        <v>0</v>
      </c>
      <c r="N195"/>
      <c r="O195" s="477"/>
      <c r="P195" s="477"/>
    </row>
    <row r="196" spans="2:16" x14ac:dyDescent="0.25">
      <c r="B196" s="343" t="s">
        <v>69</v>
      </c>
      <c r="C196" s="344"/>
      <c r="D196" s="21">
        <v>-0.5</v>
      </c>
      <c r="E196" s="21">
        <v>-0.5</v>
      </c>
      <c r="F196" s="21">
        <v>-0.5</v>
      </c>
      <c r="G196" s="21">
        <v>-0.5</v>
      </c>
      <c r="H196" s="21">
        <v>-0.5</v>
      </c>
      <c r="I196" s="21">
        <v>-0.5</v>
      </c>
      <c r="J196" s="21">
        <v>-0.5</v>
      </c>
      <c r="K196" s="21">
        <v>-0.5</v>
      </c>
      <c r="L196" s="22">
        <v>-0.5</v>
      </c>
      <c r="N196"/>
      <c r="O196" s="477"/>
      <c r="P196" s="477"/>
    </row>
    <row r="197" spans="2:16" x14ac:dyDescent="0.25">
      <c r="B197" s="343" t="s">
        <v>255</v>
      </c>
      <c r="C197" s="344"/>
      <c r="D197" s="21">
        <v>0</v>
      </c>
      <c r="E197" s="21">
        <v>0</v>
      </c>
      <c r="F197" s="21">
        <v>0</v>
      </c>
      <c r="G197" s="21">
        <v>0</v>
      </c>
      <c r="H197" s="21">
        <v>0</v>
      </c>
      <c r="I197" s="21">
        <v>0</v>
      </c>
      <c r="J197" s="21">
        <v>0</v>
      </c>
      <c r="K197" s="21">
        <v>0</v>
      </c>
      <c r="L197" s="22">
        <v>0</v>
      </c>
      <c r="N197"/>
      <c r="O197" s="477"/>
      <c r="P197" s="477"/>
    </row>
    <row r="198" spans="2:16" x14ac:dyDescent="0.25">
      <c r="B198" s="343" t="s">
        <v>258</v>
      </c>
      <c r="C198" s="344"/>
      <c r="D198" s="21">
        <v>0</v>
      </c>
      <c r="E198" s="21">
        <v>0</v>
      </c>
      <c r="F198" s="21">
        <v>0</v>
      </c>
      <c r="G198" s="21">
        <v>0</v>
      </c>
      <c r="H198" s="21">
        <v>0</v>
      </c>
      <c r="I198" s="21">
        <v>0</v>
      </c>
      <c r="J198" s="21">
        <v>0</v>
      </c>
      <c r="K198" s="21">
        <v>0</v>
      </c>
      <c r="L198" s="22">
        <v>0</v>
      </c>
      <c r="N198"/>
      <c r="O198" s="477"/>
      <c r="P198" s="477"/>
    </row>
    <row r="199" spans="2:16" x14ac:dyDescent="0.25">
      <c r="B199" s="343" t="s">
        <v>261</v>
      </c>
      <c r="C199" s="344"/>
      <c r="D199" s="21">
        <v>0</v>
      </c>
      <c r="E199" s="21">
        <v>0</v>
      </c>
      <c r="F199" s="21">
        <v>0</v>
      </c>
      <c r="G199" s="21">
        <v>0</v>
      </c>
      <c r="H199" s="21">
        <v>0</v>
      </c>
      <c r="I199" s="21">
        <v>0</v>
      </c>
      <c r="J199" s="21">
        <v>0</v>
      </c>
      <c r="K199" s="21">
        <v>0</v>
      </c>
      <c r="L199" s="22">
        <v>0</v>
      </c>
    </row>
    <row r="200" spans="2:16" x14ac:dyDescent="0.25">
      <c r="B200" s="343" t="s">
        <v>264</v>
      </c>
      <c r="C200" s="344"/>
      <c r="D200" s="21">
        <v>0</v>
      </c>
      <c r="E200" s="21">
        <v>0</v>
      </c>
      <c r="F200" s="21">
        <v>0</v>
      </c>
      <c r="G200" s="21">
        <v>0</v>
      </c>
      <c r="H200" s="21">
        <v>0</v>
      </c>
      <c r="I200" s="21">
        <v>0</v>
      </c>
      <c r="J200" s="21">
        <v>0</v>
      </c>
      <c r="K200" s="21">
        <v>0</v>
      </c>
      <c r="L200" s="22">
        <v>0</v>
      </c>
    </row>
    <row r="201" spans="2:16" x14ac:dyDescent="0.25">
      <c r="B201" s="343" t="s">
        <v>218</v>
      </c>
      <c r="C201" s="344"/>
      <c r="D201" s="21">
        <v>0</v>
      </c>
      <c r="E201" s="21">
        <v>0</v>
      </c>
      <c r="F201" s="21">
        <v>0</v>
      </c>
      <c r="G201" s="21">
        <v>0</v>
      </c>
      <c r="H201" s="21">
        <v>0</v>
      </c>
      <c r="I201" s="21">
        <v>0</v>
      </c>
      <c r="J201" s="21">
        <v>0</v>
      </c>
      <c r="K201" s="21">
        <v>0</v>
      </c>
      <c r="L201" s="22">
        <v>0</v>
      </c>
    </row>
    <row r="202" spans="2:16" x14ac:dyDescent="0.25">
      <c r="B202" s="343" t="s">
        <v>226</v>
      </c>
      <c r="C202" s="344"/>
      <c r="D202" s="21">
        <v>0</v>
      </c>
      <c r="E202" s="21">
        <v>0</v>
      </c>
      <c r="F202" s="21">
        <v>0</v>
      </c>
      <c r="G202" s="21">
        <v>0</v>
      </c>
      <c r="H202" s="21">
        <v>0</v>
      </c>
      <c r="I202" s="21">
        <v>0</v>
      </c>
      <c r="J202" s="21">
        <v>0</v>
      </c>
      <c r="K202" s="21">
        <v>0</v>
      </c>
      <c r="L202" s="22">
        <v>0</v>
      </c>
    </row>
    <row r="203" spans="2:16" x14ac:dyDescent="0.25">
      <c r="B203" s="343" t="s">
        <v>234</v>
      </c>
      <c r="C203" s="344"/>
      <c r="D203" s="21">
        <v>0</v>
      </c>
      <c r="E203" s="21">
        <v>0</v>
      </c>
      <c r="F203" s="21">
        <v>0</v>
      </c>
      <c r="G203" s="21">
        <v>0</v>
      </c>
      <c r="H203" s="21">
        <v>0</v>
      </c>
      <c r="I203" s="21">
        <v>0</v>
      </c>
      <c r="J203" s="21">
        <v>0</v>
      </c>
      <c r="K203" s="21">
        <v>0</v>
      </c>
      <c r="L203" s="22">
        <v>0</v>
      </c>
    </row>
    <row r="204" spans="2:16" x14ac:dyDescent="0.25">
      <c r="B204" s="343" t="s">
        <v>240</v>
      </c>
      <c r="C204" s="344"/>
      <c r="D204" s="21">
        <v>0</v>
      </c>
      <c r="E204" s="21">
        <v>0</v>
      </c>
      <c r="F204" s="21">
        <v>0</v>
      </c>
      <c r="G204" s="21">
        <v>0</v>
      </c>
      <c r="H204" s="21">
        <v>0</v>
      </c>
      <c r="I204" s="21">
        <v>0</v>
      </c>
      <c r="J204" s="21">
        <v>0</v>
      </c>
      <c r="K204" s="21">
        <v>0</v>
      </c>
      <c r="L204" s="22">
        <v>0</v>
      </c>
    </row>
    <row r="205" spans="2:16" x14ac:dyDescent="0.25">
      <c r="B205" s="343" t="s">
        <v>244</v>
      </c>
      <c r="C205" s="344"/>
      <c r="D205" s="21">
        <v>0</v>
      </c>
      <c r="E205" s="21">
        <v>0</v>
      </c>
      <c r="F205" s="21">
        <v>0</v>
      </c>
      <c r="G205" s="21">
        <v>0</v>
      </c>
      <c r="H205" s="21">
        <v>0</v>
      </c>
      <c r="I205" s="21">
        <v>0</v>
      </c>
      <c r="J205" s="21">
        <v>0</v>
      </c>
      <c r="K205" s="21">
        <v>0</v>
      </c>
      <c r="L205" s="22">
        <v>0</v>
      </c>
    </row>
    <row r="206" spans="2:16" x14ac:dyDescent="0.25">
      <c r="B206" s="343" t="s">
        <v>246</v>
      </c>
      <c r="C206" s="344"/>
      <c r="D206" s="21">
        <v>0</v>
      </c>
      <c r="E206" s="21">
        <v>0</v>
      </c>
      <c r="F206" s="21">
        <v>0</v>
      </c>
      <c r="G206" s="21">
        <v>0</v>
      </c>
      <c r="H206" s="21">
        <v>0</v>
      </c>
      <c r="I206" s="21">
        <v>0</v>
      </c>
      <c r="J206" s="21">
        <v>0</v>
      </c>
      <c r="K206" s="21">
        <v>0</v>
      </c>
      <c r="L206" s="22">
        <v>0</v>
      </c>
    </row>
    <row r="207" spans="2:16" x14ac:dyDescent="0.25">
      <c r="B207" s="343" t="s">
        <v>250</v>
      </c>
      <c r="C207" s="344"/>
      <c r="D207" s="21">
        <v>0</v>
      </c>
      <c r="E207" s="21">
        <v>0</v>
      </c>
      <c r="F207" s="21">
        <v>0</v>
      </c>
      <c r="G207" s="21">
        <v>0</v>
      </c>
      <c r="H207" s="21">
        <v>0</v>
      </c>
      <c r="I207" s="21">
        <v>0</v>
      </c>
      <c r="J207" s="21">
        <v>0</v>
      </c>
      <c r="K207" s="21">
        <v>0</v>
      </c>
      <c r="L207" s="22">
        <v>0</v>
      </c>
    </row>
    <row r="208" spans="2:16" x14ac:dyDescent="0.25">
      <c r="B208" s="343" t="s">
        <v>251</v>
      </c>
      <c r="C208" s="344"/>
      <c r="D208" s="21">
        <v>0</v>
      </c>
      <c r="E208" s="21">
        <v>0</v>
      </c>
      <c r="F208" s="21">
        <v>0</v>
      </c>
      <c r="G208" s="21">
        <v>0</v>
      </c>
      <c r="H208" s="21">
        <v>0</v>
      </c>
      <c r="I208" s="21">
        <v>0</v>
      </c>
      <c r="J208" s="21">
        <v>0</v>
      </c>
      <c r="K208" s="21">
        <v>0</v>
      </c>
      <c r="L208" s="22">
        <v>0</v>
      </c>
    </row>
    <row r="209" spans="2:12" x14ac:dyDescent="0.25">
      <c r="B209" s="343" t="s">
        <v>187</v>
      </c>
      <c r="C209" s="344"/>
      <c r="D209" s="21">
        <v>-0.25</v>
      </c>
      <c r="E209" s="21">
        <v>-0.25</v>
      </c>
      <c r="F209" s="21">
        <v>-0.25</v>
      </c>
      <c r="G209" s="21">
        <v>-0.25</v>
      </c>
      <c r="H209" s="21">
        <v>-0.25</v>
      </c>
      <c r="I209" s="21">
        <v>-0.25</v>
      </c>
      <c r="J209" s="21">
        <v>-0.25</v>
      </c>
      <c r="K209" s="21">
        <v>-0.25</v>
      </c>
      <c r="L209" s="22">
        <v>-0.25</v>
      </c>
    </row>
    <row r="210" spans="2:12" x14ac:dyDescent="0.25">
      <c r="B210" s="343" t="s">
        <v>188</v>
      </c>
      <c r="C210" s="344"/>
      <c r="D210" s="21">
        <v>-0.25</v>
      </c>
      <c r="E210" s="21">
        <v>-0.25</v>
      </c>
      <c r="F210" s="21">
        <v>-0.25</v>
      </c>
      <c r="G210" s="21">
        <v>-0.25</v>
      </c>
      <c r="H210" s="21">
        <v>-0.25</v>
      </c>
      <c r="I210" s="21">
        <v>-0.25</v>
      </c>
      <c r="J210" s="21">
        <v>-0.25</v>
      </c>
      <c r="K210" s="21">
        <v>-0.25</v>
      </c>
      <c r="L210" s="21">
        <v>-0.25</v>
      </c>
    </row>
    <row r="211" spans="2:12" x14ac:dyDescent="0.25">
      <c r="B211" s="343" t="s">
        <v>189</v>
      </c>
      <c r="C211" s="344"/>
      <c r="D211" s="21">
        <v>-0.25</v>
      </c>
      <c r="E211" s="21">
        <v>-0.25</v>
      </c>
      <c r="F211" s="21">
        <v>-0.25</v>
      </c>
      <c r="G211" s="21">
        <v>-0.25</v>
      </c>
      <c r="H211" s="21">
        <v>-0.25</v>
      </c>
      <c r="I211" s="21">
        <v>-0.25</v>
      </c>
      <c r="J211" s="21">
        <v>-0.25</v>
      </c>
      <c r="K211" s="21">
        <v>-0.25</v>
      </c>
      <c r="L211" s="22">
        <v>-0.25</v>
      </c>
    </row>
    <row r="212" spans="2:12" x14ac:dyDescent="0.25">
      <c r="B212" s="343" t="s">
        <v>191</v>
      </c>
      <c r="C212" s="344"/>
      <c r="D212" s="21">
        <v>-0.25</v>
      </c>
      <c r="E212" s="21">
        <v>-0.25</v>
      </c>
      <c r="F212" s="21">
        <v>-0.25</v>
      </c>
      <c r="G212" s="21">
        <v>-0.25</v>
      </c>
      <c r="H212" s="21">
        <v>-0.25</v>
      </c>
      <c r="I212" s="21">
        <v>-0.25</v>
      </c>
      <c r="J212" s="21">
        <v>-0.25</v>
      </c>
      <c r="K212" s="21">
        <v>-0.25</v>
      </c>
      <c r="L212" s="22">
        <v>-0.25</v>
      </c>
    </row>
    <row r="213" spans="2:12" x14ac:dyDescent="0.25">
      <c r="B213" s="343" t="s">
        <v>827</v>
      </c>
      <c r="C213" s="344"/>
      <c r="D213" s="21">
        <v>0</v>
      </c>
      <c r="E213" s="21">
        <v>0</v>
      </c>
      <c r="F213" s="21">
        <v>0</v>
      </c>
      <c r="G213" s="21">
        <v>0</v>
      </c>
      <c r="H213" s="21">
        <v>0</v>
      </c>
      <c r="I213" s="21">
        <v>0</v>
      </c>
      <c r="J213" s="21">
        <v>0</v>
      </c>
      <c r="K213" s="21">
        <v>0</v>
      </c>
      <c r="L213" s="22">
        <v>0</v>
      </c>
    </row>
    <row r="214" spans="2:12" x14ac:dyDescent="0.25">
      <c r="B214" s="343" t="s">
        <v>192</v>
      </c>
      <c r="C214" s="344"/>
      <c r="D214" s="21">
        <v>-0.25</v>
      </c>
      <c r="E214" s="21">
        <v>-0.25</v>
      </c>
      <c r="F214" s="21">
        <v>-0.25</v>
      </c>
      <c r="G214" s="21">
        <v>-0.25</v>
      </c>
      <c r="H214" s="21">
        <v>-0.25</v>
      </c>
      <c r="I214" s="21">
        <v>-0.25</v>
      </c>
      <c r="J214" s="21">
        <v>-0.25</v>
      </c>
      <c r="K214" s="21">
        <v>-0.25</v>
      </c>
      <c r="L214" s="22">
        <v>-0.25</v>
      </c>
    </row>
    <row r="215" spans="2:12" x14ac:dyDescent="0.25">
      <c r="B215" s="343" t="s">
        <v>193</v>
      </c>
      <c r="C215" s="344"/>
      <c r="D215" s="21">
        <v>0.15</v>
      </c>
      <c r="E215" s="21">
        <v>0.15</v>
      </c>
      <c r="F215" s="21">
        <v>0.15</v>
      </c>
      <c r="G215" s="21">
        <v>0.15</v>
      </c>
      <c r="H215" s="21">
        <v>0.15</v>
      </c>
      <c r="I215" s="21">
        <v>0.15</v>
      </c>
      <c r="J215" s="21">
        <v>0.15</v>
      </c>
      <c r="K215" s="21">
        <v>0.15</v>
      </c>
      <c r="L215" s="21">
        <v>0.15</v>
      </c>
    </row>
    <row r="216" spans="2:12" x14ac:dyDescent="0.25">
      <c r="B216" s="343" t="s">
        <v>65</v>
      </c>
      <c r="C216" s="344"/>
      <c r="D216" s="21">
        <v>0</v>
      </c>
      <c r="E216" s="21">
        <v>0</v>
      </c>
      <c r="F216" s="21">
        <v>0</v>
      </c>
      <c r="G216" s="21">
        <v>0</v>
      </c>
      <c r="H216" s="21">
        <v>0</v>
      </c>
      <c r="I216" s="21">
        <v>0</v>
      </c>
      <c r="J216" s="21">
        <v>0</v>
      </c>
      <c r="K216" s="21">
        <v>0</v>
      </c>
      <c r="L216" s="22">
        <v>0</v>
      </c>
    </row>
    <row r="217" spans="2:12" x14ac:dyDescent="0.25">
      <c r="B217" s="343" t="s">
        <v>106</v>
      </c>
      <c r="C217" s="344"/>
      <c r="D217" s="21">
        <v>-0.25</v>
      </c>
      <c r="E217" s="21">
        <v>-0.25</v>
      </c>
      <c r="F217" s="21">
        <v>-0.25</v>
      </c>
      <c r="G217" s="21">
        <v>-0.25</v>
      </c>
      <c r="H217" s="21">
        <v>-0.25</v>
      </c>
      <c r="I217" s="21">
        <v>-0.25</v>
      </c>
      <c r="J217" s="21">
        <v>-0.25</v>
      </c>
      <c r="K217" s="21">
        <v>-0.25</v>
      </c>
      <c r="L217" s="22">
        <v>-0.25</v>
      </c>
    </row>
    <row r="218" spans="2:12" x14ac:dyDescent="0.25">
      <c r="B218" s="343" t="s">
        <v>111</v>
      </c>
      <c r="C218" s="344"/>
      <c r="D218" s="21">
        <v>-0.5</v>
      </c>
      <c r="E218" s="21">
        <v>-0.5</v>
      </c>
      <c r="F218" s="21">
        <v>-0.5</v>
      </c>
      <c r="G218" s="21">
        <v>-0.5</v>
      </c>
      <c r="H218" s="21">
        <v>-0.5</v>
      </c>
      <c r="I218" s="21">
        <v>-0.5</v>
      </c>
      <c r="J218" s="21">
        <v>-0.5</v>
      </c>
      <c r="K218" s="21">
        <v>-0.5</v>
      </c>
      <c r="L218" s="22">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69" priority="6" operator="containsText" text="n/a">
      <formula>NOT(ISERROR(SEARCH("n/a",B161)))</formula>
    </cfRule>
  </conditionalFormatting>
  <conditionalFormatting sqref="B174">
    <cfRule type="containsText" dxfId="268" priority="5" operator="containsText" text="n/a">
      <formula>NOT(ISERROR(SEARCH("n/a",B174)))</formula>
    </cfRule>
  </conditionalFormatting>
  <conditionalFormatting sqref="D161:L161">
    <cfRule type="containsText" dxfId="267"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6" priority="2" operator="containsText" text="n/a">
      <formula>NOT(ISERROR(SEARCH("n/a",T160)))</formula>
    </cfRule>
  </conditionalFormatting>
  <conditionalFormatting sqref="T159">
    <cfRule type="containsText" dxfId="26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28" customWidth="1"/>
    <col min="2" max="2" width="30.85546875" style="428" customWidth="1"/>
    <col min="3" max="3" width="28.140625" style="428" customWidth="1"/>
    <col min="4" max="4" width="26.42578125" style="428" customWidth="1"/>
    <col min="5" max="5" width="9.140625" style="428"/>
    <col min="6" max="6" width="44" style="446" customWidth="1"/>
    <col min="7" max="7" width="42.5703125" style="428" customWidth="1"/>
    <col min="8" max="9" width="43.28515625" style="428" customWidth="1"/>
    <col min="10" max="10" width="22.28515625" style="428" customWidth="1"/>
    <col min="11" max="14" width="9.140625" style="428"/>
    <col min="15" max="15" width="14.42578125" style="428" customWidth="1"/>
    <col min="16" max="16384" width="9.140625" style="428"/>
  </cols>
  <sheetData>
    <row r="1" spans="1:16" ht="15.75" thickBot="1" x14ac:dyDescent="0.3">
      <c r="A1" s="437"/>
      <c r="B1" s="436"/>
      <c r="C1" s="437"/>
      <c r="D1" s="436"/>
    </row>
    <row r="2" spans="1:16" ht="15" customHeight="1" thickBot="1" x14ac:dyDescent="0.3">
      <c r="A2" s="735" t="s">
        <v>736</v>
      </c>
      <c r="B2" s="736"/>
      <c r="C2" s="736"/>
      <c r="D2" s="737"/>
      <c r="F2" s="712" t="s">
        <v>748</v>
      </c>
      <c r="G2" s="713"/>
      <c r="H2" s="731" t="s">
        <v>741</v>
      </c>
      <c r="I2" s="732"/>
      <c r="K2" s="449"/>
      <c r="L2" s="724"/>
      <c r="M2" s="724"/>
      <c r="O2" s="447"/>
      <c r="P2" s="446"/>
    </row>
    <row r="3" spans="1:16" x14ac:dyDescent="0.25">
      <c r="A3" s="745" t="s">
        <v>735</v>
      </c>
      <c r="B3" s="746"/>
      <c r="C3" s="743" t="s">
        <v>734</v>
      </c>
      <c r="D3" s="744"/>
      <c r="F3" s="714"/>
      <c r="G3" s="715"/>
      <c r="H3" s="727" t="s">
        <v>746</v>
      </c>
      <c r="I3" s="728"/>
      <c r="K3" s="449"/>
      <c r="L3" s="725"/>
      <c r="M3" s="725"/>
      <c r="O3" s="447"/>
      <c r="P3" s="446"/>
    </row>
    <row r="4" spans="1:16" ht="15.75" thickBot="1" x14ac:dyDescent="0.3">
      <c r="A4" s="743" t="s">
        <v>733</v>
      </c>
      <c r="B4" s="744"/>
      <c r="C4" s="745" t="s">
        <v>732</v>
      </c>
      <c r="D4" s="746"/>
      <c r="F4" s="714"/>
      <c r="G4" s="715"/>
      <c r="H4" s="729"/>
      <c r="I4" s="730"/>
      <c r="K4" s="449"/>
      <c r="L4" s="725"/>
      <c r="M4" s="725"/>
      <c r="O4" s="447"/>
      <c r="P4" s="446"/>
    </row>
    <row r="5" spans="1:16" ht="15.75" thickBot="1" x14ac:dyDescent="0.3">
      <c r="A5" s="745" t="s">
        <v>731</v>
      </c>
      <c r="B5" s="746"/>
      <c r="C5" s="743" t="s">
        <v>730</v>
      </c>
      <c r="D5" s="744"/>
      <c r="F5" s="708" t="s">
        <v>749</v>
      </c>
      <c r="G5" s="717"/>
      <c r="H5" s="731" t="s">
        <v>742</v>
      </c>
      <c r="I5" s="732"/>
      <c r="K5" s="449"/>
      <c r="L5" s="724"/>
      <c r="M5" s="724"/>
    </row>
    <row r="6" spans="1:16" ht="15" customHeight="1" x14ac:dyDescent="0.25">
      <c r="A6" s="743" t="s">
        <v>234</v>
      </c>
      <c r="B6" s="744"/>
      <c r="C6" s="745" t="s">
        <v>729</v>
      </c>
      <c r="D6" s="746"/>
      <c r="F6" s="718"/>
      <c r="G6" s="717"/>
      <c r="H6" s="727" t="s">
        <v>744</v>
      </c>
      <c r="I6" s="728"/>
      <c r="K6" s="450"/>
      <c r="L6" s="725"/>
      <c r="M6" s="725"/>
      <c r="O6" s="446"/>
    </row>
    <row r="7" spans="1:16" x14ac:dyDescent="0.25">
      <c r="A7" s="745" t="s">
        <v>728</v>
      </c>
      <c r="B7" s="746"/>
      <c r="C7" s="743" t="s">
        <v>727</v>
      </c>
      <c r="D7" s="744"/>
      <c r="F7" s="708" t="s">
        <v>750</v>
      </c>
      <c r="G7" s="717"/>
      <c r="H7" s="708"/>
      <c r="I7" s="709"/>
      <c r="K7" s="450"/>
      <c r="L7" s="725"/>
      <c r="M7" s="725"/>
      <c r="O7" s="446"/>
    </row>
    <row r="8" spans="1:16" ht="15.75" thickBot="1" x14ac:dyDescent="0.3">
      <c r="A8" s="743" t="s">
        <v>726</v>
      </c>
      <c r="B8" s="744"/>
      <c r="C8" s="745" t="s">
        <v>725</v>
      </c>
      <c r="D8" s="746"/>
      <c r="F8" s="718"/>
      <c r="G8" s="717"/>
      <c r="H8" s="729"/>
      <c r="I8" s="730"/>
      <c r="L8" s="725"/>
      <c r="M8" s="725"/>
      <c r="O8" s="446"/>
    </row>
    <row r="9" spans="1:16" ht="15" customHeight="1" thickBot="1" x14ac:dyDescent="0.3">
      <c r="A9" s="745" t="s">
        <v>724</v>
      </c>
      <c r="B9" s="746"/>
      <c r="C9" s="743" t="s">
        <v>723</v>
      </c>
      <c r="D9" s="744"/>
      <c r="F9" s="708" t="s">
        <v>751</v>
      </c>
      <c r="G9" s="716"/>
      <c r="H9" s="731" t="s">
        <v>743</v>
      </c>
      <c r="I9" s="732"/>
      <c r="K9" s="450"/>
      <c r="L9" s="724"/>
      <c r="M9" s="724"/>
    </row>
    <row r="10" spans="1:16" ht="15.75" thickBot="1" x14ac:dyDescent="0.3">
      <c r="A10" s="743" t="s">
        <v>722</v>
      </c>
      <c r="B10" s="744"/>
      <c r="C10" s="745" t="s">
        <v>721</v>
      </c>
      <c r="D10" s="746"/>
      <c r="F10" s="708"/>
      <c r="G10" s="716"/>
      <c r="H10" s="733" t="s">
        <v>745</v>
      </c>
      <c r="I10" s="734"/>
      <c r="K10" s="450"/>
      <c r="L10" s="726"/>
      <c r="M10" s="726"/>
    </row>
    <row r="11" spans="1:16" x14ac:dyDescent="0.25">
      <c r="A11" s="745" t="s">
        <v>720</v>
      </c>
      <c r="B11" s="746"/>
      <c r="C11" s="743" t="s">
        <v>719</v>
      </c>
      <c r="D11" s="744"/>
      <c r="F11" s="708" t="s">
        <v>752</v>
      </c>
      <c r="G11" s="719"/>
      <c r="I11" s="448"/>
    </row>
    <row r="12" spans="1:16" ht="15" customHeight="1" x14ac:dyDescent="0.25">
      <c r="A12" s="743" t="s">
        <v>718</v>
      </c>
      <c r="B12" s="744"/>
      <c r="C12" s="745" t="s">
        <v>717</v>
      </c>
      <c r="D12" s="746"/>
      <c r="F12" s="718"/>
      <c r="G12" s="719"/>
      <c r="H12" s="450"/>
      <c r="I12" s="450"/>
      <c r="J12" s="450"/>
      <c r="K12" s="450"/>
    </row>
    <row r="13" spans="1:16" ht="15.75" thickBot="1" x14ac:dyDescent="0.3">
      <c r="A13" s="745" t="s">
        <v>716</v>
      </c>
      <c r="B13" s="746"/>
      <c r="C13" s="743" t="s">
        <v>715</v>
      </c>
      <c r="D13" s="744"/>
      <c r="F13" s="720"/>
      <c r="G13" s="721"/>
      <c r="H13" s="450"/>
      <c r="I13" s="450"/>
      <c r="K13" s="450"/>
    </row>
    <row r="14" spans="1:16" ht="15.75" thickBot="1" x14ac:dyDescent="0.3">
      <c r="A14" s="743" t="s">
        <v>714</v>
      </c>
      <c r="B14" s="744"/>
      <c r="C14" s="745" t="s">
        <v>713</v>
      </c>
      <c r="D14" s="746"/>
    </row>
    <row r="15" spans="1:16" ht="15.75" thickBot="1" x14ac:dyDescent="0.3">
      <c r="A15" s="745" t="s">
        <v>712</v>
      </c>
      <c r="B15" s="746"/>
      <c r="C15" s="743" t="s">
        <v>711</v>
      </c>
      <c r="D15" s="744"/>
      <c r="F15" s="706" t="s">
        <v>747</v>
      </c>
      <c r="G15" s="707"/>
      <c r="H15"/>
      <c r="I15"/>
      <c r="J15" s="448"/>
      <c r="K15" s="448"/>
    </row>
    <row r="16" spans="1:16" ht="15" customHeight="1" x14ac:dyDescent="0.25">
      <c r="A16" s="743" t="s">
        <v>710</v>
      </c>
      <c r="B16" s="744"/>
      <c r="C16" s="745" t="s">
        <v>709</v>
      </c>
      <c r="D16" s="746"/>
      <c r="F16" s="722" t="s">
        <v>753</v>
      </c>
      <c r="G16" s="723"/>
      <c r="H16"/>
      <c r="I16"/>
      <c r="J16" s="450"/>
    </row>
    <row r="17" spans="1:16" ht="15" customHeight="1" x14ac:dyDescent="0.25">
      <c r="A17" s="745" t="s">
        <v>708</v>
      </c>
      <c r="B17" s="746"/>
      <c r="C17" s="743" t="s">
        <v>707</v>
      </c>
      <c r="D17" s="744"/>
      <c r="F17" s="718"/>
      <c r="G17" s="719"/>
      <c r="H17"/>
      <c r="I17"/>
      <c r="J17" s="450"/>
      <c r="K17" s="450"/>
      <c r="L17" s="450"/>
      <c r="M17" s="450"/>
      <c r="P17" s="446"/>
    </row>
    <row r="18" spans="1:16" x14ac:dyDescent="0.25">
      <c r="A18" s="743" t="s">
        <v>706</v>
      </c>
      <c r="B18" s="744"/>
      <c r="C18" s="745" t="s">
        <v>705</v>
      </c>
      <c r="D18" s="746"/>
      <c r="F18" s="718"/>
      <c r="G18" s="719"/>
      <c r="H18"/>
      <c r="I18"/>
      <c r="J18" s="450"/>
      <c r="K18" s="450"/>
      <c r="L18" s="450"/>
      <c r="M18" s="450"/>
      <c r="P18" s="446"/>
    </row>
    <row r="19" spans="1:16" x14ac:dyDescent="0.25">
      <c r="A19" s="745" t="s">
        <v>704</v>
      </c>
      <c r="B19" s="746"/>
      <c r="C19" s="743" t="s">
        <v>703</v>
      </c>
      <c r="D19" s="744"/>
      <c r="F19" s="718"/>
      <c r="G19" s="719"/>
      <c r="H19"/>
      <c r="I19"/>
      <c r="J19" s="450"/>
      <c r="K19" s="450"/>
      <c r="L19" s="450"/>
      <c r="M19" s="450"/>
      <c r="P19" s="446"/>
    </row>
    <row r="20" spans="1:16" x14ac:dyDescent="0.25">
      <c r="A20" s="743" t="s">
        <v>702</v>
      </c>
      <c r="B20" s="744"/>
      <c r="C20" s="745" t="s">
        <v>701</v>
      </c>
      <c r="D20" s="746"/>
      <c r="F20" s="718"/>
      <c r="G20" s="719"/>
      <c r="H20"/>
      <c r="I20"/>
      <c r="J20" s="450"/>
      <c r="K20" s="450"/>
      <c r="L20" s="450"/>
      <c r="M20" s="450"/>
      <c r="P20" s="446"/>
    </row>
    <row r="21" spans="1:16" x14ac:dyDescent="0.25">
      <c r="A21" s="745" t="s">
        <v>700</v>
      </c>
      <c r="B21" s="746"/>
      <c r="C21" s="743" t="s">
        <v>699</v>
      </c>
      <c r="D21" s="744"/>
      <c r="F21" s="708" t="s">
        <v>754</v>
      </c>
      <c r="G21" s="719"/>
      <c r="H21"/>
      <c r="I21"/>
      <c r="J21" s="450"/>
      <c r="K21" s="450"/>
      <c r="L21" s="450"/>
      <c r="M21" s="450"/>
    </row>
    <row r="22" spans="1:16" x14ac:dyDescent="0.25">
      <c r="A22" s="735" t="s">
        <v>698</v>
      </c>
      <c r="B22" s="736"/>
      <c r="C22" s="736"/>
      <c r="D22" s="737"/>
      <c r="F22" s="718"/>
      <c r="G22" s="719"/>
      <c r="H22"/>
      <c r="I22"/>
      <c r="P22" s="446"/>
    </row>
    <row r="23" spans="1:16" ht="15" customHeight="1" x14ac:dyDescent="0.25">
      <c r="A23" s="741" t="s">
        <v>697</v>
      </c>
      <c r="B23" s="742"/>
      <c r="C23" s="743" t="s">
        <v>696</v>
      </c>
      <c r="D23" s="744"/>
      <c r="F23" s="718"/>
      <c r="G23" s="719"/>
      <c r="H23"/>
      <c r="I23"/>
      <c r="J23" s="450"/>
      <c r="K23" s="450"/>
      <c r="L23" s="450"/>
      <c r="M23" s="450"/>
      <c r="P23" s="446"/>
    </row>
    <row r="24" spans="1:16" x14ac:dyDescent="0.25">
      <c r="A24" s="743" t="s">
        <v>695</v>
      </c>
      <c r="B24" s="744"/>
      <c r="C24" s="745" t="s">
        <v>246</v>
      </c>
      <c r="D24" s="746"/>
      <c r="F24" s="718"/>
      <c r="G24" s="719"/>
      <c r="H24"/>
      <c r="I24"/>
      <c r="J24" s="450"/>
      <c r="K24" s="450"/>
      <c r="L24" s="450"/>
      <c r="M24" s="450"/>
      <c r="P24" s="446"/>
    </row>
    <row r="25" spans="1:16" x14ac:dyDescent="0.25">
      <c r="A25" s="745" t="s">
        <v>694</v>
      </c>
      <c r="B25" s="746"/>
      <c r="C25" s="747"/>
      <c r="D25" s="748"/>
      <c r="F25" s="718"/>
      <c r="G25" s="719"/>
      <c r="H25"/>
      <c r="I25"/>
      <c r="J25" s="450"/>
      <c r="K25" s="450"/>
      <c r="L25" s="450"/>
      <c r="M25" s="450"/>
      <c r="P25" s="446"/>
    </row>
    <row r="26" spans="1:16" x14ac:dyDescent="0.25">
      <c r="A26" s="735" t="s">
        <v>693</v>
      </c>
      <c r="B26" s="736"/>
      <c r="C26" s="736"/>
      <c r="D26" s="737"/>
      <c r="F26" s="708" t="s">
        <v>755</v>
      </c>
      <c r="G26" s="709"/>
      <c r="H26" s="450"/>
      <c r="I26" s="450"/>
      <c r="J26" s="450"/>
      <c r="K26" s="450"/>
      <c r="L26" s="450"/>
      <c r="M26" s="450"/>
      <c r="P26" s="446"/>
    </row>
    <row r="27" spans="1:16" x14ac:dyDescent="0.25">
      <c r="A27" s="435" t="s">
        <v>692</v>
      </c>
      <c r="B27" s="435" t="s">
        <v>691</v>
      </c>
      <c r="C27" s="435" t="s">
        <v>690</v>
      </c>
      <c r="D27" s="435" t="s">
        <v>689</v>
      </c>
      <c r="F27" s="708"/>
      <c r="G27" s="709"/>
      <c r="H27" s="450"/>
      <c r="I27" s="450"/>
      <c r="J27" s="450"/>
      <c r="K27" s="450"/>
      <c r="L27" s="450"/>
      <c r="M27" s="450"/>
    </row>
    <row r="28" spans="1:16" ht="90" x14ac:dyDescent="0.25">
      <c r="A28" s="430" t="s">
        <v>688</v>
      </c>
      <c r="B28" s="434" t="s">
        <v>687</v>
      </c>
      <c r="C28" s="429" t="s">
        <v>671</v>
      </c>
      <c r="D28" s="429" t="s">
        <v>686</v>
      </c>
      <c r="F28" s="708"/>
      <c r="G28" s="709"/>
    </row>
    <row r="29" spans="1:16" ht="75.75" thickBot="1" x14ac:dyDescent="0.3">
      <c r="A29" s="433" t="s">
        <v>240</v>
      </c>
      <c r="B29" s="431" t="s">
        <v>682</v>
      </c>
      <c r="C29" s="431" t="s">
        <v>685</v>
      </c>
      <c r="D29" s="431" t="s">
        <v>684</v>
      </c>
      <c r="F29" s="710" t="s">
        <v>756</v>
      </c>
      <c r="G29" s="711"/>
    </row>
    <row r="30" spans="1:16" x14ac:dyDescent="0.25">
      <c r="A30" s="430" t="s">
        <v>683</v>
      </c>
      <c r="B30" s="429" t="s">
        <v>682</v>
      </c>
      <c r="C30" s="429" t="s">
        <v>681</v>
      </c>
      <c r="D30" s="429" t="s">
        <v>666</v>
      </c>
    </row>
    <row r="31" spans="1:16" ht="30" x14ac:dyDescent="0.25">
      <c r="A31" s="433" t="s">
        <v>680</v>
      </c>
      <c r="B31" s="432" t="s">
        <v>679</v>
      </c>
      <c r="C31" s="431" t="s">
        <v>671</v>
      </c>
      <c r="D31" s="431" t="s">
        <v>678</v>
      </c>
    </row>
    <row r="32" spans="1:16" ht="30" x14ac:dyDescent="0.25">
      <c r="A32" s="430" t="s">
        <v>677</v>
      </c>
      <c r="B32" s="429" t="s">
        <v>676</v>
      </c>
      <c r="C32" s="429" t="s">
        <v>675</v>
      </c>
      <c r="D32" s="429" t="s">
        <v>674</v>
      </c>
    </row>
    <row r="33" spans="1:4" ht="45" x14ac:dyDescent="0.25">
      <c r="A33" s="433" t="s">
        <v>673</v>
      </c>
      <c r="B33" s="432" t="s">
        <v>672</v>
      </c>
      <c r="C33" s="431" t="s">
        <v>671</v>
      </c>
      <c r="D33" s="431" t="s">
        <v>670</v>
      </c>
    </row>
    <row r="34" spans="1:4" x14ac:dyDescent="0.25">
      <c r="A34" s="430" t="s">
        <v>669</v>
      </c>
      <c r="B34" s="429" t="s">
        <v>668</v>
      </c>
      <c r="C34" s="429" t="s">
        <v>667</v>
      </c>
      <c r="D34" s="429" t="s">
        <v>666</v>
      </c>
    </row>
    <row r="35" spans="1:4" x14ac:dyDescent="0.25">
      <c r="A35" s="738" t="s">
        <v>665</v>
      </c>
      <c r="B35" s="739"/>
      <c r="C35" s="739"/>
      <c r="D35" s="740"/>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W1"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75"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7"/>
      <c r="V1" s="358" t="s">
        <v>205</v>
      </c>
      <c r="W1" s="359"/>
      <c r="X1" s="355" t="e" cm="1">
        <f t="array" ref="X1">IF(AND(OR(#REF!=B9:B11),OR(#REF!=L4:L6)),V4,V3)</f>
        <v>#REF!</v>
      </c>
      <c r="Y1" s="394" t="s">
        <v>206</v>
      </c>
      <c r="Z1" s="97" t="b" cm="1">
        <f t="array" ref="Z1">IF(AND(OR('DSCR (RT)'!S25=M8:M9,M11:M12),OR('DSCR (RT)'!S17=D3)),0.25,IF(AND(OR('DSCR (RT)'!S25=M7),OR('DSCR (RT)'!S17=D3)),0.5,IF(AND(OR('DSCR (RT)'!S27=H7:H9,'DSCR (RT)'!S27=H7:H9,'DSCR (RT)'!S27=H12:H14),OR('DSCR (RT)'!S17=D3)),0.25)))</f>
        <v>0</v>
      </c>
      <c r="AA1" s="608" t="s">
        <v>936</v>
      </c>
      <c r="AB1" s="89"/>
      <c r="AC1" s="89"/>
      <c r="AD1" s="89"/>
    </row>
    <row r="2" spans="1:31" x14ac:dyDescent="0.25">
      <c r="A2" s="99" t="s">
        <v>31</v>
      </c>
      <c r="B2" s="99" t="s">
        <v>31</v>
      </c>
      <c r="C2" s="99" t="s">
        <v>31</v>
      </c>
      <c r="D2" s="99" t="s">
        <v>31</v>
      </c>
      <c r="E2" s="476"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0"/>
      <c r="V2" s="358" t="s">
        <v>208</v>
      </c>
      <c r="W2" s="359"/>
      <c r="X2" s="355" t="e" cm="1">
        <f t="array" ref="X2">IF(AND(OR(#REF!=B3:B8),OR(#REF!=C3:C4),OR(#REF!=L4:L6)),V4,V3)</f>
        <v>#REF!</v>
      </c>
      <c r="Y2" s="394"/>
      <c r="Z2" s="97"/>
      <c r="AA2" s="151"/>
      <c r="AC2" s="89"/>
      <c r="AD2" s="89"/>
    </row>
    <row r="3" spans="1:31" x14ac:dyDescent="0.25">
      <c r="A3" s="89" t="s">
        <v>22</v>
      </c>
      <c r="B3" s="99" t="s">
        <v>12</v>
      </c>
      <c r="C3" s="99" t="s">
        <v>48</v>
      </c>
      <c r="D3" s="99" t="s">
        <v>176</v>
      </c>
      <c r="E3" s="476"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0"/>
      <c r="V3" s="387" t="s">
        <v>74</v>
      </c>
      <c r="W3" s="388"/>
      <c r="X3" s="393"/>
      <c r="Y3" s="395" t="s">
        <v>219</v>
      </c>
      <c r="Z3" s="396" cm="1">
        <f t="array" ref="Z3">IF(AND(OR('DSCR (RT)'!S12=A9:A12),OR('DSCR (RT)'!S21=J5:J7)),VLOOKUP($Y$3,'DSCR (RT)'!$F$30:$O$34,3,FALSE),0)</f>
        <v>0</v>
      </c>
      <c r="AA3" s="396" t="s">
        <v>219</v>
      </c>
      <c r="AB3" s="89"/>
      <c r="AC3" s="89"/>
      <c r="AD3" s="89"/>
    </row>
    <row r="4" spans="1:31" x14ac:dyDescent="0.25">
      <c r="A4" s="89" t="s">
        <v>24</v>
      </c>
      <c r="B4" s="99" t="s">
        <v>13</v>
      </c>
      <c r="C4" s="99" t="s">
        <v>28</v>
      </c>
      <c r="D4" s="102"/>
      <c r="E4" s="476"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0"/>
      <c r="V4" s="389" t="s">
        <v>644</v>
      </c>
      <c r="W4" s="390"/>
      <c r="X4"/>
      <c r="Y4" s="103" t="s">
        <v>74</v>
      </c>
      <c r="Z4"/>
      <c r="AB4"/>
      <c r="AC4"/>
      <c r="AD4" s="89"/>
    </row>
    <row r="5" spans="1:31" ht="15.75" thickBot="1" x14ac:dyDescent="0.3">
      <c r="A5" s="89" t="s">
        <v>26</v>
      </c>
      <c r="B5" s="99" t="s">
        <v>14</v>
      </c>
      <c r="C5" s="99" t="s">
        <v>179</v>
      </c>
      <c r="E5" s="476"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827</v>
      </c>
      <c r="U5" s="361"/>
      <c r="V5" s="392"/>
      <c r="W5" s="390"/>
      <c r="Y5" s="103" t="s">
        <v>225</v>
      </c>
      <c r="Z5"/>
      <c r="AA5"/>
      <c r="AB5"/>
      <c r="AC5" s="101" t="s">
        <v>227</v>
      </c>
      <c r="AD5"/>
      <c r="AE5"/>
    </row>
    <row r="6" spans="1:31" x14ac:dyDescent="0.25">
      <c r="A6" s="99" t="s">
        <v>29</v>
      </c>
      <c r="B6" s="99" t="s">
        <v>15</v>
      </c>
      <c r="C6" s="99" t="s">
        <v>235</v>
      </c>
      <c r="E6" s="476" t="s">
        <v>54</v>
      </c>
      <c r="F6" s="99" t="s">
        <v>236</v>
      </c>
      <c r="G6" s="99" t="s">
        <v>86</v>
      </c>
      <c r="H6" s="99" t="s">
        <v>116</v>
      </c>
      <c r="I6" s="99"/>
      <c r="J6" t="s">
        <v>75</v>
      </c>
      <c r="K6" s="99" t="s">
        <v>237</v>
      </c>
      <c r="L6" s="99" t="s">
        <v>238</v>
      </c>
      <c r="M6" s="99" t="s">
        <v>239</v>
      </c>
      <c r="N6" s="99"/>
      <c r="O6" s="99"/>
      <c r="P6" s="99" t="s">
        <v>157</v>
      </c>
      <c r="Q6" s="99"/>
      <c r="R6" s="99"/>
      <c r="S6" s="106"/>
      <c r="T6" s="99" t="s">
        <v>234</v>
      </c>
      <c r="U6"/>
      <c r="W6"/>
      <c r="X6"/>
      <c r="Y6"/>
      <c r="AA6"/>
      <c r="AB6"/>
      <c r="AC6" s="101" t="s">
        <v>227</v>
      </c>
      <c r="AD6"/>
      <c r="AE6"/>
    </row>
    <row r="7" spans="1:31" x14ac:dyDescent="0.25">
      <c r="A7" s="99" t="s">
        <v>32</v>
      </c>
      <c r="B7" s="99" t="s">
        <v>16</v>
      </c>
      <c r="C7" s="99" t="s">
        <v>241</v>
      </c>
      <c r="D7" s="99"/>
      <c r="E7" s="476" t="s">
        <v>61</v>
      </c>
      <c r="G7" s="99" t="s">
        <v>87</v>
      </c>
      <c r="H7" s="111" t="s">
        <v>121</v>
      </c>
      <c r="I7" s="99"/>
      <c r="J7" t="s">
        <v>76</v>
      </c>
      <c r="K7" s="89" t="s">
        <v>242</v>
      </c>
      <c r="L7" s="99" t="s">
        <v>31</v>
      </c>
      <c r="M7" s="99" t="s">
        <v>140</v>
      </c>
      <c r="N7" s="99"/>
      <c r="O7" s="99"/>
      <c r="P7" s="99" t="s">
        <v>204</v>
      </c>
      <c r="Q7" s="99"/>
      <c r="R7" s="92"/>
      <c r="S7"/>
      <c r="T7" s="99" t="s">
        <v>251</v>
      </c>
      <c r="U7" s="99"/>
      <c r="W7"/>
      <c r="X7" s="339" t="s">
        <v>245</v>
      </c>
      <c r="Y7"/>
      <c r="Z7"/>
      <c r="AA7"/>
      <c r="AB7"/>
      <c r="AC7" s="101" t="s">
        <v>227</v>
      </c>
      <c r="AD7"/>
      <c r="AE7"/>
    </row>
    <row r="8" spans="1:31" x14ac:dyDescent="0.25">
      <c r="A8" s="99" t="s">
        <v>35</v>
      </c>
      <c r="B8" s="99" t="s">
        <v>17</v>
      </c>
      <c r="C8" s="99" t="s">
        <v>182</v>
      </c>
      <c r="D8" s="99"/>
      <c r="E8" s="476" t="s">
        <v>63</v>
      </c>
      <c r="G8" s="99" t="s">
        <v>89</v>
      </c>
      <c r="H8" s="111" t="s">
        <v>125</v>
      </c>
      <c r="I8" s="99"/>
      <c r="J8" s="99"/>
      <c r="K8" s="99" t="s">
        <v>98</v>
      </c>
      <c r="L8" s="99"/>
      <c r="M8" s="99" t="s">
        <v>142</v>
      </c>
      <c r="N8" s="99"/>
      <c r="O8" s="99"/>
      <c r="P8" s="99"/>
      <c r="Q8" s="99"/>
      <c r="R8" s="99"/>
      <c r="S8"/>
      <c r="T8" s="99" t="s">
        <v>187</v>
      </c>
      <c r="U8" s="99"/>
      <c r="V8"/>
      <c r="W8"/>
      <c r="X8" s="339" t="s">
        <v>247</v>
      </c>
      <c r="Y8"/>
      <c r="Z8"/>
      <c r="AA8"/>
      <c r="AB8"/>
      <c r="AC8" s="101" t="s">
        <v>227</v>
      </c>
      <c r="AD8"/>
      <c r="AE8"/>
    </row>
    <row r="9" spans="1:31" x14ac:dyDescent="0.25">
      <c r="A9" s="99" t="s">
        <v>38</v>
      </c>
      <c r="B9" s="99" t="s">
        <v>18</v>
      </c>
      <c r="C9" s="89" t="s">
        <v>183</v>
      </c>
      <c r="D9" s="99"/>
      <c r="E9" s="476"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76"/>
      <c r="F10" s="99"/>
      <c r="G10" s="99" t="s">
        <v>91</v>
      </c>
      <c r="H10" s="99" t="s">
        <v>131</v>
      </c>
      <c r="I10" s="99"/>
      <c r="J10" s="99"/>
      <c r="K10" s="363"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76"/>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76"/>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76"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76"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N15" s="89" t="s">
        <v>111</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N16" s="89" t="s">
        <v>243</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77"/>
      <c r="F22"/>
      <c r="G22"/>
      <c r="I22"/>
      <c r="J22"/>
      <c r="S22"/>
      <c r="U22"/>
      <c r="V22"/>
      <c r="W22"/>
      <c r="X22"/>
      <c r="Y22"/>
      <c r="Z22"/>
      <c r="AA22"/>
      <c r="AB22"/>
      <c r="AC22" s="101" t="s">
        <v>227</v>
      </c>
    </row>
    <row r="23" spans="1:29" x14ac:dyDescent="0.25">
      <c r="E23" s="477"/>
      <c r="F23"/>
      <c r="G23"/>
      <c r="J23"/>
      <c r="S23"/>
      <c r="U23"/>
      <c r="V23"/>
      <c r="W23"/>
      <c r="X23"/>
      <c r="Y23"/>
      <c r="Z23"/>
      <c r="AA23"/>
      <c r="AB23"/>
      <c r="AC23" s="101" t="s">
        <v>227</v>
      </c>
    </row>
    <row r="24" spans="1:29" x14ac:dyDescent="0.25">
      <c r="E24" s="477"/>
      <c r="F24"/>
      <c r="G24"/>
      <c r="J24"/>
      <c r="S24"/>
      <c r="U24"/>
      <c r="V24"/>
      <c r="W24"/>
      <c r="X24"/>
      <c r="Y24"/>
      <c r="Z24"/>
      <c r="AA24"/>
      <c r="AB24"/>
      <c r="AC24" s="101" t="s">
        <v>227</v>
      </c>
    </row>
    <row r="25" spans="1:29" x14ac:dyDescent="0.25">
      <c r="E25" s="477"/>
      <c r="F25"/>
      <c r="G25"/>
      <c r="J25"/>
      <c r="P25"/>
      <c r="S25"/>
      <c r="U25"/>
      <c r="V25"/>
      <c r="W25"/>
      <c r="X25"/>
      <c r="Y25"/>
      <c r="Z25"/>
      <c r="AA25"/>
      <c r="AB25"/>
      <c r="AC25" s="101" t="s">
        <v>227</v>
      </c>
    </row>
    <row r="26" spans="1:29" x14ac:dyDescent="0.25">
      <c r="E26" s="477"/>
      <c r="F26"/>
      <c r="G26"/>
      <c r="J26"/>
      <c r="S26"/>
      <c r="U26"/>
      <c r="V26"/>
      <c r="W26"/>
      <c r="X26"/>
      <c r="Y26"/>
      <c r="Z26"/>
      <c r="AA26"/>
      <c r="AB26"/>
      <c r="AC26" s="101" t="s">
        <v>227</v>
      </c>
    </row>
    <row r="27" spans="1:29" x14ac:dyDescent="0.25">
      <c r="E27" s="477"/>
      <c r="F27"/>
      <c r="G27"/>
      <c r="I27" s="117"/>
      <c r="S27"/>
      <c r="U27"/>
      <c r="V27"/>
      <c r="W27"/>
      <c r="X27"/>
      <c r="Y27"/>
      <c r="Z27"/>
      <c r="AA27"/>
      <c r="AB27"/>
      <c r="AC27" s="101" t="s">
        <v>227</v>
      </c>
    </row>
    <row r="28" spans="1:29" x14ac:dyDescent="0.25">
      <c r="E28" s="477"/>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19" t="s">
        <v>270</v>
      </c>
      <c r="O37"/>
      <c r="P37"/>
      <c r="Q37" s="369" t="s">
        <v>271</v>
      </c>
      <c r="R37" s="370"/>
      <c r="S37" s="370"/>
      <c r="T37"/>
      <c r="U37" s="363" t="s">
        <v>272</v>
      </c>
      <c r="V37" s="363"/>
      <c r="W37" s="363" t="s">
        <v>273</v>
      </c>
      <c r="Y37" s="363" t="s">
        <v>272</v>
      </c>
      <c r="Z37" s="363"/>
      <c r="AA37" s="363" t="s">
        <v>274</v>
      </c>
      <c r="AG37" s="588" t="s">
        <v>275</v>
      </c>
      <c r="AH37" s="587"/>
      <c r="AI37" s="587"/>
      <c r="AJ37"/>
      <c r="AK37" s="588" t="s">
        <v>276</v>
      </c>
      <c r="AL37" s="587"/>
      <c r="AM37" s="587"/>
      <c r="AN37"/>
      <c r="AO37" s="101" t="s">
        <v>227</v>
      </c>
      <c r="AP37" s="101"/>
    </row>
    <row r="38" spans="1:42" x14ac:dyDescent="0.25">
      <c r="A38" s="120" t="s">
        <v>277</v>
      </c>
      <c r="C38" s="99"/>
      <c r="D38" s="99"/>
      <c r="F38" s="363" t="s">
        <v>278</v>
      </c>
      <c r="G38" s="363"/>
      <c r="H38" s="363" t="s">
        <v>279</v>
      </c>
      <c r="L38" s="89" t="s">
        <v>280</v>
      </c>
      <c r="M38" s="150" t="str" cm="1">
        <f t="array" ref="M38">IF(AND(OR('DSCR (RT)'!S24=K4:K5),'DSCR (RT)'!S13=C7,OR('DSCR (RT)'!S11=B10:B11)),NA(),"")</f>
        <v/>
      </c>
      <c r="N38" s="8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(RT)'!$S$12, $A$10:$A$12, 0)),ISNUMBER(MATCH('DSCR (RT)'!$S$11, $B$8:$B$11, 0)),ISNUMBER(MATCH('DSCR (RT)'!$S$20, $G$4:$G$5, 0)),ISNUMBER(MATCH('DSCR (RT)'!$S$13, $C$6:$C$7, 0)),ISNUMBER(MATCH('DSCR (RT)'!$S$21,$J$7,0))),NA(),"")</f>
        <v/>
      </c>
      <c r="AM38" t="s">
        <v>289</v>
      </c>
      <c r="AN38"/>
      <c r="AO38" s="101" t="s">
        <v>227</v>
      </c>
      <c r="AP38" s="101"/>
    </row>
    <row r="39" spans="1:42" x14ac:dyDescent="0.25">
      <c r="A39" s="356" t="s">
        <v>157</v>
      </c>
      <c r="B39" s="356"/>
      <c r="C39" s="367" t="s">
        <v>290</v>
      </c>
      <c r="D39" s="99"/>
      <c r="F39" s="363" t="s">
        <v>291</v>
      </c>
      <c r="G39" s="363"/>
      <c r="H39" s="363" t="s">
        <v>292</v>
      </c>
      <c r="L39" s="89" t="s">
        <v>280</v>
      </c>
      <c r="M39" s="150" t="str" cm="1">
        <f t="array" ref="M39">IF(AND(OR('DSCR (RT)'!S24=K4:K5),'DSCR (RT)'!S13=C7,OR('DSCR (RT)'!S11=B9:B11),OR('DSCR (RT)'!S21=J6:J7)),NA(),"")</f>
        <v/>
      </c>
      <c r="N39" s="89" t="s">
        <v>293</v>
      </c>
      <c r="O39"/>
      <c r="P39"/>
      <c r="Q39" s="371" t="s">
        <v>294</v>
      </c>
      <c r="R39" s="371"/>
      <c r="S39" s="371" t="s">
        <v>295</v>
      </c>
      <c r="T39"/>
      <c r="U39" s="363" t="s">
        <v>272</v>
      </c>
      <c r="V39" s="363"/>
      <c r="W39" s="363" t="s">
        <v>296</v>
      </c>
      <c r="Y39" s="363" t="s">
        <v>272</v>
      </c>
      <c r="Z39" s="363"/>
      <c r="AA39" s="363" t="s">
        <v>297</v>
      </c>
      <c r="AG39" s="339"/>
      <c r="AH39" s="339" t="str">
        <f>IF(AND(
   ISNUMBER(MATCH('DSCR (RT)'!$S$13, $C$3:$C$9, 0)),
   'DSCR (RT)'!$S$29 = $T$15
), NA(), "")</f>
        <v/>
      </c>
      <c r="AI39" s="339" t="s">
        <v>298</v>
      </c>
      <c r="AJ39"/>
      <c r="AK39" t="s">
        <v>299</v>
      </c>
      <c r="AL39" s="339" t="str">
        <f>IF(AND(ISNUMBER(MATCH('DSCR (RT)'!$S$12, $A$11:$A$12, 0)),ISNUMBER(MATCH('DSCR (RT)'!$S$11, $B$7:$B$11, 0)),ISNUMBER(MATCH('DSCR (RT)'!$S$21, $J$6:$J$7, 0)),ISNUMBER(MATCH('DSCR (RT)'!$S$13, $C$6:$C$7, 0)),ISNUMBER(MATCH('DSCR (RT)'!$S$20,$G$5,0))), NA(), "")</f>
        <v/>
      </c>
      <c r="AM39" t="s">
        <v>300</v>
      </c>
      <c r="AN39"/>
      <c r="AO39" s="101" t="s">
        <v>227</v>
      </c>
      <c r="AP39" s="101"/>
    </row>
    <row r="40" spans="1:42" x14ac:dyDescent="0.25">
      <c r="A40" s="356" t="s">
        <v>157</v>
      </c>
      <c r="B40" s="356"/>
      <c r="C40" s="367" t="s">
        <v>301</v>
      </c>
      <c r="D40" s="99"/>
      <c r="F40" s="363" t="s">
        <v>49</v>
      </c>
      <c r="G40" s="363"/>
      <c r="H40" s="363" t="s">
        <v>302</v>
      </c>
      <c r="L40" s="99" t="s">
        <v>176</v>
      </c>
      <c r="M40" s="150" t="str" cm="1">
        <f t="array" ref="M40">IF(AND(OR('DSCR (RT)'!S12='Feed(DSCR)'!A3:A12),'DSCR (RT)'!S17='Feed(DSCR)'!D3,OR('DSCR (RT)'!S11='Feed(DSCR)'!B9:B11),OR('DSCR (RT)'!S21='Feed(DSCR)'!J6:J7)),NA(),"")</f>
        <v/>
      </c>
      <c r="N40" s="89" t="s">
        <v>303</v>
      </c>
      <c r="Q40" s="371" t="s">
        <v>294</v>
      </c>
      <c r="R40" s="371"/>
      <c r="S40" s="371" t="s">
        <v>304</v>
      </c>
      <c r="U40" s="363" t="s">
        <v>272</v>
      </c>
      <c r="V40" s="363"/>
      <c r="W40" s="363" t="s">
        <v>305</v>
      </c>
      <c r="Y40" s="363" t="s">
        <v>272</v>
      </c>
      <c r="Z40" s="363"/>
      <c r="AA40" s="363" t="s">
        <v>305</v>
      </c>
      <c r="AG40"/>
      <c r="AH40"/>
      <c r="AI40"/>
      <c r="AJ40"/>
      <c r="AK40" t="s">
        <v>866</v>
      </c>
      <c r="AL40" s="339" t="str">
        <f>IF(AND(ISNUMBER(MATCH('DSCR (RT)'!$S$12, $A$7:$A$12, 0)),ISNUMBER(MATCH('DSCR (RT)'!$S$11, $B$9:$B$11, 0)),ISNUMBER(MATCH('DSCR (RT)'!$S$21, $J$5:$J$7, 0)),ISNUMBER(MATCH('DSCR (RT)'!$S$13, $C$6:$C$7, 0)),ISNUMBER(MATCH('DSCR (RT)'!$S$20,$G$5:$G$12,0))), NA(), "")</f>
        <v/>
      </c>
      <c r="AM40" t="s">
        <v>867</v>
      </c>
      <c r="AN40"/>
      <c r="AO40" s="101" t="s">
        <v>227</v>
      </c>
      <c r="AP40" s="101"/>
    </row>
    <row r="41" spans="1:42" x14ac:dyDescent="0.25">
      <c r="A41" s="356" t="s">
        <v>157</v>
      </c>
      <c r="B41" s="356"/>
      <c r="C41" s="367" t="s">
        <v>306</v>
      </c>
      <c r="D41" s="99"/>
      <c r="F41" s="363" t="s">
        <v>49</v>
      </c>
      <c r="G41" s="363"/>
      <c r="H41" s="363" t="s">
        <v>307</v>
      </c>
      <c r="J41" s="99"/>
      <c r="K41" s="99"/>
      <c r="L41" s="99" t="s">
        <v>308</v>
      </c>
      <c r="M41" s="150" t="str" cm="1">
        <f t="array" ref="M41">IF(AND(OR('DSCR (RT)'!S13='Feed(DSCR)'!C5),OR('DSCR (RT)'!S24='Feed(DSCR)'!K4:K5,'DSCR (RT)'!S24='Feed(DSCR)'!K8)),NA(),"")</f>
        <v/>
      </c>
      <c r="N41" s="89" t="s">
        <v>309</v>
      </c>
      <c r="O41" s="99"/>
      <c r="P41" s="99"/>
      <c r="Q41" s="371" t="s">
        <v>310</v>
      </c>
      <c r="R41" s="371"/>
      <c r="S41" s="371" t="s">
        <v>311</v>
      </c>
      <c r="U41" s="363" t="s">
        <v>272</v>
      </c>
      <c r="V41" s="363"/>
      <c r="W41" s="363" t="s">
        <v>312</v>
      </c>
      <c r="Y41" s="363" t="s">
        <v>272</v>
      </c>
      <c r="Z41" s="363"/>
      <c r="AA41" s="363" t="s">
        <v>312</v>
      </c>
      <c r="AG41"/>
      <c r="AH41"/>
      <c r="AI41"/>
      <c r="AJ41"/>
      <c r="AK41" t="s">
        <v>855</v>
      </c>
      <c r="AL41" s="339" t="str">
        <f>IF(AND(ISNUMBER(MATCH('DSCR (RT)'!$S$12,$A$3:$A$5,0)),ISNUMBER(MATCH('DSCR (RT)'!$S$11,$B$9:$B$11,0)),ISNUMBER(MATCH('DSCR (RT)'!$S$21,$J$5,0)),ISNUMBER(MATCH('DSCR (RT)'!$S$13,$C$6:$C$7,0)),ISNUMBER(MATCH('DSCR (RT)'!$S$20,$G$8,0))),NA(),"")</f>
        <v/>
      </c>
      <c r="AM41" t="s">
        <v>856</v>
      </c>
      <c r="AN41"/>
      <c r="AO41" s="101" t="s">
        <v>227</v>
      </c>
      <c r="AP41" s="101"/>
    </row>
    <row r="42" spans="1:42" x14ac:dyDescent="0.25">
      <c r="A42" s="356" t="s">
        <v>157</v>
      </c>
      <c r="B42" s="356"/>
      <c r="C42" s="367" t="s">
        <v>313</v>
      </c>
      <c r="D42" s="99"/>
      <c r="F42" s="363" t="s">
        <v>49</v>
      </c>
      <c r="G42" s="363"/>
      <c r="H42" s="363" t="s">
        <v>314</v>
      </c>
      <c r="J42" s="99"/>
      <c r="K42" s="99"/>
      <c r="L42" s="99" t="s">
        <v>176</v>
      </c>
      <c r="M42" s="150" t="str" cm="1">
        <f t="array" ref="M42">IF(AND(OR('DSCR (RT)'!S13='Feed(DSCR)'!C8),'DSCR (RT)'!S17='Feed(DSCR)'!D3,OR('DSCR (RT)'!S12='Feed(DSCR)'!A11:A12)),NA(),"")</f>
        <v/>
      </c>
      <c r="N42" s="89" t="s">
        <v>315</v>
      </c>
      <c r="O42" s="99"/>
      <c r="P42" s="99"/>
      <c r="Q42" s="371" t="s">
        <v>282</v>
      </c>
      <c r="R42" s="371"/>
      <c r="S42" s="371" t="s">
        <v>316</v>
      </c>
      <c r="U42" s="363" t="s">
        <v>272</v>
      </c>
      <c r="V42" s="363"/>
      <c r="W42" s="363" t="s">
        <v>317</v>
      </c>
      <c r="Y42" s="363" t="s">
        <v>272</v>
      </c>
      <c r="Z42" s="363"/>
      <c r="AA42" s="363" t="s">
        <v>317</v>
      </c>
      <c r="AI42" s="101"/>
      <c r="AJ42" s="101"/>
      <c r="AK42" t="s">
        <v>855</v>
      </c>
      <c r="AL42" s="339" t="str">
        <f>IF(AND(ISNUMBER(MATCH('DSCR (RT)'!$S$12,$A$3:$A$5,0)),ISNUMBER(MATCH('DSCR (RT)'!$S$11,$B$9:$B$11,0)),ISNUMBER(MATCH('DSCR (RT)'!$S$21,$J$5,0)),ISNUMBER(MATCH('DSCR (RT)'!$S$13,$C$6:$C$7,0)),ISNUMBER(MATCH('DSCR (RT)'!$S$20,$G$9,0))),NA(),"")</f>
        <v/>
      </c>
      <c r="AM42" t="s">
        <v>857</v>
      </c>
      <c r="AN42" s="101"/>
      <c r="AO42" s="120"/>
      <c r="AP42" s="101"/>
    </row>
    <row r="43" spans="1:42" x14ac:dyDescent="0.25">
      <c r="A43" s="356" t="s">
        <v>320</v>
      </c>
      <c r="B43" s="356"/>
      <c r="C43" s="367" t="s">
        <v>321</v>
      </c>
      <c r="D43" s="99"/>
      <c r="F43" s="363" t="s">
        <v>280</v>
      </c>
      <c r="G43" s="363"/>
      <c r="H43" s="363" t="s">
        <v>322</v>
      </c>
      <c r="J43" s="99"/>
      <c r="K43" s="99"/>
      <c r="L43" s="99" t="s">
        <v>308</v>
      </c>
      <c r="M43" s="150" t="str">
        <f>IF(AND(OR('DSCR (RT)'!S13='Feed(DSCR)'!C5),OR('DSCR (RT)'!S18='Feed(DSCR)'!E9)),NA(),"")</f>
        <v/>
      </c>
      <c r="N43" s="89" t="s">
        <v>323</v>
      </c>
      <c r="O43" s="99"/>
      <c r="P43" s="99"/>
      <c r="Q43" s="371" t="s">
        <v>282</v>
      </c>
      <c r="R43" s="371"/>
      <c r="S43" s="371" t="s">
        <v>324</v>
      </c>
      <c r="U43" s="363" t="s">
        <v>272</v>
      </c>
      <c r="V43" s="363"/>
      <c r="W43" s="363" t="s">
        <v>325</v>
      </c>
      <c r="Y43" s="363" t="s">
        <v>272</v>
      </c>
      <c r="Z43" s="363"/>
      <c r="AA43" s="363" t="s">
        <v>325</v>
      </c>
      <c r="AG43" s="150" t="s">
        <v>326</v>
      </c>
      <c r="AH43" s="150" t="str" cm="1">
        <f t="array" ref="AH43">IF(AND(OR('DSCR (RT)'!S23=L5:L6),('DSCR (RT)'!S27=H3),OR('DSCR (RT)'!S29='Feed(DSCR)'!T3)),NA(),"")</f>
        <v/>
      </c>
      <c r="AI43" s="151" t="s">
        <v>319</v>
      </c>
      <c r="AJ43" s="101"/>
      <c r="AK43" t="s">
        <v>855</v>
      </c>
      <c r="AL43" s="339" t="str">
        <f>IF(AND(ISNUMBER(MATCH('DSCR (RT)'!$S$12,$A$3:$A$5,0)),ISNUMBER(MATCH('DSCR (RT)'!$S$11,$B$8:$B$11,0)),ISNUMBER(MATCH('DSCR (RT)'!$S$21,$J$5,0)),ISNUMBER(MATCH('DSCR (RT)'!$S$13,$C$6:$C$7,0)),ISNUMBER(MATCH('DSCR (RT)'!$S$20,$G$10,0))),NA(),"")</f>
        <v/>
      </c>
      <c r="AM43" t="s">
        <v>858</v>
      </c>
      <c r="AN43" s="101"/>
      <c r="AO43" s="99"/>
    </row>
    <row r="44" spans="1:42" x14ac:dyDescent="0.25">
      <c r="A44" s="374" t="s">
        <v>327</v>
      </c>
      <c r="B44" s="374" t="str">
        <f>IF(AND(ISNUMBER(MATCH('DSCR (RT)'!S23,L3:L4,0)),
        ISNUMBER(MATCH('DSCR (RT)'!S27,H5:H14,0))),NA(),"")</f>
        <v/>
      </c>
      <c r="C44" s="363" t="s">
        <v>328</v>
      </c>
      <c r="D44" s="99"/>
      <c r="F44" s="363" t="s">
        <v>280</v>
      </c>
      <c r="G44" s="363"/>
      <c r="H44" s="363" t="s">
        <v>329</v>
      </c>
      <c r="J44" s="99"/>
      <c r="K44" s="99"/>
      <c r="L44" s="99" t="s">
        <v>330</v>
      </c>
      <c r="M44" s="150" t="str" cm="1">
        <f t="array" ref="M44">IF(AND('DSCR (RT)'!S17='Feed(DSCR)'!D3,OR('DSCR (RT)'!S29=T8),OR('DSCR (RT)'!S20='Feed(DSCR)'!G8:G12)),NA(),"")</f>
        <v/>
      </c>
      <c r="N44" s="89" t="s">
        <v>331</v>
      </c>
      <c r="O44" s="99"/>
      <c r="P44" s="99"/>
      <c r="Q44" s="372" t="s">
        <v>282</v>
      </c>
      <c r="R44" s="371"/>
      <c r="S44" s="371" t="s">
        <v>332</v>
      </c>
      <c r="U44" s="363" t="s">
        <v>272</v>
      </c>
      <c r="V44" s="363"/>
      <c r="W44" s="363" t="s">
        <v>296</v>
      </c>
      <c r="Y44" s="363" t="s">
        <v>272</v>
      </c>
      <c r="Z44" s="363"/>
      <c r="AA44" s="363" t="s">
        <v>296</v>
      </c>
      <c r="AG44" s="150" t="s">
        <v>333</v>
      </c>
      <c r="AH44" s="150"/>
      <c r="AI44" s="151" t="s">
        <v>334</v>
      </c>
      <c r="AJ44" s="101"/>
      <c r="AK44" t="s">
        <v>855</v>
      </c>
      <c r="AL44" s="339" t="str">
        <f>IF(AND(ISNUMBER(MATCH('DSCR (RT)'!$S$12,$A$3:$A$5,0)),ISNUMBER(MATCH('DSCR (RT)'!$S$11,$B$6:$B$11,0)),ISNUMBER(MATCH('DSCR (RT)'!$S$21,$J$5,0)),ISNUMBER(MATCH('DSCR (RT)'!$S$13,$C$6:$C$7,0)),ISNUMBER(MATCH('DSCR (RT)'!$S$20,$G$11:$G$12,0))),NA(),"")</f>
        <v/>
      </c>
      <c r="AM44" t="s">
        <v>859</v>
      </c>
      <c r="AN44" s="101"/>
      <c r="AO44" s="101"/>
      <c r="AP44" s="101"/>
    </row>
    <row r="45" spans="1:42" x14ac:dyDescent="0.25">
      <c r="A45" s="376">
        <v>1099</v>
      </c>
      <c r="B45" s="374"/>
      <c r="C45" s="363" t="s">
        <v>335</v>
      </c>
      <c r="D45" s="99"/>
      <c r="F45" s="363" t="s">
        <v>280</v>
      </c>
      <c r="G45" s="363"/>
      <c r="H45" s="363" t="s">
        <v>336</v>
      </c>
      <c r="J45" s="99"/>
      <c r="K45" s="99"/>
      <c r="L45" s="99" t="s">
        <v>176</v>
      </c>
      <c r="M45" s="150" t="str" cm="1">
        <f t="array" ref="M45">IF(AND(OR('DSCR (RT)'!S13='Feed(DSCR)'!C5,'DSCR (RT)'!S13='Feed(DSCR)'!C7:C8),'DSCR (RT)'!S17='Feed(DSCR)'!D3,OR('DSCR (RT)'!S11='Feed(DSCR)'!B10:B11)),NA(),"")</f>
        <v/>
      </c>
      <c r="N45" s="89" t="s">
        <v>337</v>
      </c>
      <c r="O45" s="99"/>
      <c r="P45" s="99"/>
      <c r="Q45" s="372" t="s">
        <v>282</v>
      </c>
      <c r="R45" s="371"/>
      <c r="S45" s="371" t="s">
        <v>338</v>
      </c>
      <c r="U45" s="363" t="s">
        <v>272</v>
      </c>
      <c r="V45" s="363"/>
      <c r="W45" s="363" t="s">
        <v>339</v>
      </c>
      <c r="Y45" s="363" t="s">
        <v>272</v>
      </c>
      <c r="Z45" s="363"/>
      <c r="AA45" s="363" t="s">
        <v>339</v>
      </c>
      <c r="AG45" s="150" t="s">
        <v>340</v>
      </c>
      <c r="AH45" s="150" t="str" cm="1">
        <f t="array" ref="AH45">IF(AND(OR('DSCR (RT)'!S23=L5:L6),OR('DSCR (RT)'!S27=H3,'DSCR (RT)'!S27=H8:H9),OR('DSCR (RT)'!S29=T11,'DSCR (RT)'!S29=T5)),NA(),"")</f>
        <v/>
      </c>
      <c r="AI45" s="151" t="s">
        <v>334</v>
      </c>
      <c r="AJ45" s="101"/>
      <c r="AK45" t="s">
        <v>863</v>
      </c>
      <c r="AL45" s="339" t="str">
        <f>IF(AND(ISNUMBER(MATCH('DSCR (RT)'!$S$12,$A$3:$A$12,0)),ISNUMBER(MATCH('DSCR (RT)'!$S$11,$B$8:$B$11,0)),ISNUMBER(MATCH('DSCR (RT)'!$S$21,$J$5,0)),ISNUMBER(MATCH('DSCR (RT)'!$S$13,$C$10,0)),ISNUMBER(MATCH('DSCR (RT)'!$S$20,$G$3:$G$12,0))),NA(),"")</f>
        <v/>
      </c>
      <c r="AM45" t="s">
        <v>862</v>
      </c>
      <c r="AN45" s="101"/>
      <c r="AO45" s="101"/>
      <c r="AP45" s="101"/>
    </row>
    <row r="46" spans="1:42" x14ac:dyDescent="0.25">
      <c r="A46" s="356" t="s">
        <v>320</v>
      </c>
      <c r="B46" s="356"/>
      <c r="C46" s="367" t="s">
        <v>341</v>
      </c>
      <c r="D46" s="99"/>
      <c r="F46" s="363" t="s">
        <v>280</v>
      </c>
      <c r="G46" s="363"/>
      <c r="H46" s="363" t="s">
        <v>342</v>
      </c>
      <c r="I46"/>
      <c r="J46"/>
      <c r="K46" s="99"/>
      <c r="L46" s="89" t="s">
        <v>343</v>
      </c>
      <c r="M46" s="150" t="str" cm="1">
        <f t="array" ref="M46">IF(AND(OR('DSCR (RT)'!S28=J15),OR('DSCR (RT)'!S27=H4:H9),OR('DSCR (RT)'!S29='Feed(DSCR)'!T14:T14)),NA(),"")</f>
        <v/>
      </c>
      <c r="N46" s="89" t="s">
        <v>344</v>
      </c>
      <c r="O46" s="99"/>
      <c r="P46" s="99"/>
      <c r="Q46" s="372" t="s">
        <v>282</v>
      </c>
      <c r="R46" s="371"/>
      <c r="S46" s="371" t="s">
        <v>345</v>
      </c>
      <c r="U46" s="363" t="s">
        <v>272</v>
      </c>
      <c r="V46" s="368"/>
      <c r="W46" s="363" t="s">
        <v>346</v>
      </c>
      <c r="Y46" s="363" t="s">
        <v>272</v>
      </c>
      <c r="Z46" s="368"/>
      <c r="AA46" s="363" t="s">
        <v>346</v>
      </c>
      <c r="AG46" s="99"/>
      <c r="AJ46" s="101"/>
      <c r="AK46" s="101"/>
      <c r="AL46" s="101"/>
      <c r="AM46" s="101"/>
      <c r="AN46" s="101"/>
      <c r="AO46" s="101"/>
      <c r="AP46" s="101"/>
    </row>
    <row r="47" spans="1:42" x14ac:dyDescent="0.25">
      <c r="A47" s="374" t="s">
        <v>347</v>
      </c>
      <c r="B47" s="374"/>
      <c r="C47" s="363"/>
      <c r="D47" s="99"/>
      <c r="F47" s="363" t="s">
        <v>280</v>
      </c>
      <c r="G47" s="363"/>
      <c r="H47" s="363" t="s">
        <v>348</v>
      </c>
      <c r="I47" s="99"/>
      <c r="J47" s="99"/>
      <c r="K47" s="99"/>
      <c r="L47" s="89" t="s">
        <v>349</v>
      </c>
      <c r="M47" s="150" t="str" cm="1">
        <f t="array" ref="M47">IF(AND(OR('DSCR (RT)'!S28=J16),('DSCR (RT)'!S27=H3),OR('DSCR (RT)'!S29='Feed(DSCR)'!T14:T14)),NA(),"")</f>
        <v/>
      </c>
      <c r="N47" s="89" t="s">
        <v>350</v>
      </c>
      <c r="O47" s="99"/>
      <c r="P47" s="99"/>
      <c r="Q47" s="372" t="s">
        <v>282</v>
      </c>
      <c r="R47" s="371"/>
      <c r="S47" s="371" t="s">
        <v>351</v>
      </c>
      <c r="U47" s="363" t="s">
        <v>272</v>
      </c>
      <c r="V47" s="363"/>
      <c r="W47" s="363" t="s">
        <v>352</v>
      </c>
      <c r="Y47" s="363" t="s">
        <v>272</v>
      </c>
      <c r="Z47" s="363"/>
      <c r="AA47" s="363" t="s">
        <v>352</v>
      </c>
      <c r="AG47" s="150" t="s">
        <v>353</v>
      </c>
      <c r="AH47" s="339" t="str">
        <f>IF(AND(OR('DSCR (RT)'!$S$25='Feed(DSCR)'!$M$6),'DSCR (RT)'!$S$24='Feed(DSCR)'!$K$10),NA(),"")</f>
        <v/>
      </c>
      <c r="AI47" s="151"/>
      <c r="AJ47" s="101"/>
      <c r="AK47" s="120"/>
      <c r="AL47"/>
      <c r="AM47"/>
      <c r="AN47"/>
      <c r="AO47" s="101" t="s">
        <v>227</v>
      </c>
      <c r="AP47" s="101"/>
    </row>
    <row r="48" spans="1:42" x14ac:dyDescent="0.25">
      <c r="A48" s="356" t="s">
        <v>354</v>
      </c>
      <c r="B48" s="356"/>
      <c r="C48" s="367" t="s">
        <v>355</v>
      </c>
      <c r="D48" s="99"/>
      <c r="F48" s="363" t="s">
        <v>52</v>
      </c>
      <c r="G48" s="363"/>
      <c r="H48" s="363" t="s">
        <v>356</v>
      </c>
      <c r="I48" s="99"/>
      <c r="J48" s="99"/>
      <c r="K48" s="99"/>
      <c r="L48" s="89" t="s">
        <v>357</v>
      </c>
      <c r="M48" s="150" t="str">
        <f>IF(AND(OR('DSCR (RT)'!S28=J15),('DSCR (RT)'!S27=H3),('DSCR (RT)'!S29='Feed(DSCR)'!T3)),NA(),"")</f>
        <v/>
      </c>
      <c r="N48" s="89" t="s">
        <v>358</v>
      </c>
      <c r="O48" s="99"/>
      <c r="P48" s="99"/>
      <c r="Q48" s="372" t="s">
        <v>282</v>
      </c>
      <c r="R48" s="371"/>
      <c r="S48" s="371" t="s">
        <v>359</v>
      </c>
      <c r="U48" s="363" t="s">
        <v>272</v>
      </c>
      <c r="V48" s="368"/>
      <c r="W48" s="363" t="s">
        <v>360</v>
      </c>
      <c r="Y48" s="363" t="s">
        <v>272</v>
      </c>
      <c r="Z48" s="368"/>
      <c r="AA48" s="363" t="s">
        <v>360</v>
      </c>
      <c r="AG48" s="339" t="s">
        <v>361</v>
      </c>
      <c r="AH48" s="339" t="str">
        <f>IF(AND(OR('DSCR (RT)'!$S$26='Feed(DSCR)'!$I$4),'DSCR (RT)'!$S$24='Feed(DSCR)'!$K$10),NA(),"")</f>
        <v/>
      </c>
      <c r="AI48" s="339" t="s">
        <v>362</v>
      </c>
      <c r="AJ48"/>
      <c r="AK48"/>
      <c r="AL48"/>
      <c r="AM48"/>
      <c r="AN48"/>
      <c r="AO48" s="101" t="s">
        <v>227</v>
      </c>
      <c r="AP48" s="101"/>
    </row>
    <row r="49" spans="1:42" x14ac:dyDescent="0.25">
      <c r="A49" s="356" t="s">
        <v>363</v>
      </c>
      <c r="B49" s="356"/>
      <c r="C49" s="367" t="s">
        <v>365</v>
      </c>
      <c r="D49" s="99"/>
      <c r="F49" s="363" t="s">
        <v>366</v>
      </c>
      <c r="G49" s="363"/>
      <c r="H49" s="363" t="s">
        <v>367</v>
      </c>
      <c r="I49" s="99"/>
      <c r="J49" s="99"/>
      <c r="L49" s="89" t="s">
        <v>368</v>
      </c>
      <c r="M49" s="150" t="str">
        <f>IF(AND(OR('DSCR (RT)'!S28=J16),('DSCR (RT)'!S27=H3),('DSCR (RT)'!S29='Feed(DSCR)'!T3)),NA(),"")</f>
        <v/>
      </c>
      <c r="N49" s="89" t="s">
        <v>369</v>
      </c>
      <c r="O49" s="99"/>
      <c r="P49" s="99"/>
      <c r="Q49" s="372" t="s">
        <v>282</v>
      </c>
      <c r="R49" s="371"/>
      <c r="S49" s="371" t="s">
        <v>370</v>
      </c>
      <c r="U49" s="363" t="s">
        <v>272</v>
      </c>
      <c r="V49" s="368"/>
      <c r="W49" s="363" t="s">
        <v>371</v>
      </c>
      <c r="Y49" s="363" t="s">
        <v>272</v>
      </c>
      <c r="Z49" s="368"/>
      <c r="AA49" s="363" t="s">
        <v>372</v>
      </c>
      <c r="AG49" s="150" t="s">
        <v>373</v>
      </c>
      <c r="AH49" s="339" t="str">
        <f>IF(AND(
   ISNUMBER(MATCH('DSCR (RT)'!$S$11, $B$8:$B$11, 0)),
   ISNUMBER(MATCH('DSCR (RT)'!$S$12, $A$7:$A$12, 0)),
   ISNUMBER(MATCH('DSCR (RT)'!$S$21, $J$3:$J$4, 0)),
   'DSCR (RT)'!$S$13 = $C$8), NA(), "")</f>
        <v/>
      </c>
      <c r="AI49" s="339"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8" t="s">
        <v>376</v>
      </c>
      <c r="D50" s="99"/>
      <c r="E50" s="476"/>
      <c r="F50" s="363" t="s">
        <v>377</v>
      </c>
      <c r="G50" s="363"/>
      <c r="H50" s="363" t="s">
        <v>378</v>
      </c>
      <c r="I50" s="99"/>
      <c r="J50" s="99"/>
      <c r="L50" s="89" t="s">
        <v>379</v>
      </c>
      <c r="M50" s="150" t="str" cm="1">
        <f t="array" ref="M50">IF(AND(OR('DSCR (RT)'!S28=J14),OR('DSCR (RT)'!S27=H4:H9),('DSCR (RT)'!S29='Feed(DSCR)'!T14)),NA(),"")</f>
        <v/>
      </c>
      <c r="N50" s="89" t="s">
        <v>380</v>
      </c>
      <c r="O50" s="99"/>
      <c r="P50" s="99"/>
      <c r="Q50" s="372" t="s">
        <v>282</v>
      </c>
      <c r="R50" s="371"/>
      <c r="S50" s="371" t="s">
        <v>381</v>
      </c>
      <c r="U50" s="363" t="s">
        <v>272</v>
      </c>
      <c r="V50" s="368"/>
      <c r="W50" s="363" t="s">
        <v>382</v>
      </c>
      <c r="Y50" s="363" t="s">
        <v>272</v>
      </c>
      <c r="Z50" s="368"/>
      <c r="AA50" s="363"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5" t="s">
        <v>386</v>
      </c>
      <c r="B51" s="356"/>
      <c r="C51" s="377" t="s">
        <v>387</v>
      </c>
      <c r="D51" s="99" t="e" cm="1">
        <f t="array" ref="D51">IF(AND(OR(#REF!=A10:A12),#REF!=C4),NA(),"")</f>
        <v>#REF!</v>
      </c>
      <c r="E51" s="476"/>
      <c r="F51" s="363" t="s">
        <v>388</v>
      </c>
      <c r="G51" s="363"/>
      <c r="H51" s="363" t="s">
        <v>389</v>
      </c>
      <c r="I51" s="99"/>
      <c r="J51" s="99"/>
      <c r="L51" t="s">
        <v>195</v>
      </c>
      <c r="M51" s="150"/>
      <c r="N51" s="89" t="s">
        <v>390</v>
      </c>
      <c r="O51" s="99"/>
      <c r="P51" s="99"/>
      <c r="Q51" s="372" t="s">
        <v>282</v>
      </c>
      <c r="R51" s="371"/>
      <c r="S51" s="371" t="s">
        <v>391</v>
      </c>
      <c r="U51" s="363" t="s">
        <v>272</v>
      </c>
      <c r="V51" s="368"/>
      <c r="W51" s="363" t="s">
        <v>392</v>
      </c>
      <c r="Y51" s="363" t="s">
        <v>272</v>
      </c>
      <c r="Z51" s="368"/>
      <c r="AA51" s="363" t="s">
        <v>393</v>
      </c>
      <c r="AG51" s="150" t="s">
        <v>394</v>
      </c>
      <c r="AH51" s="339" t="str" cm="1">
        <f t="array" ref="AH51">IF(AND(OR('DSCR (RT)'!S13='Feed(DSCR)'!C8),'DSCR (RT)'!S17='Feed(DSCR)'!D3,OR('DSCR (RT)'!S11='Feed(DSCR)'!B7:B11),OR('DSCR (RT)'!S21=J5:J7)),NA(),"")</f>
        <v/>
      </c>
      <c r="AI51" s="339" t="s">
        <v>395</v>
      </c>
      <c r="AJ51"/>
      <c r="AK51"/>
      <c r="AL51"/>
      <c r="AM51"/>
      <c r="AN51"/>
      <c r="AO51" s="101" t="s">
        <v>227</v>
      </c>
      <c r="AP51" s="101"/>
    </row>
    <row r="52" spans="1:42" x14ac:dyDescent="0.25">
      <c r="A52" s="356" t="s">
        <v>396</v>
      </c>
      <c r="B52" s="356"/>
      <c r="C52" s="377" t="s">
        <v>397</v>
      </c>
      <c r="D52" s="99"/>
      <c r="E52" s="476"/>
      <c r="F52" s="363" t="s">
        <v>398</v>
      </c>
      <c r="G52" s="363"/>
      <c r="H52" s="363" t="s">
        <v>399</v>
      </c>
      <c r="I52" s="99"/>
      <c r="J52" s="99"/>
      <c r="L52" t="s">
        <v>400</v>
      </c>
      <c r="M52" s="150" t="str" cm="1">
        <f t="array" ref="M52">IF(AND(OR('DSCR (RT)'!$S$12=$A$3:$A$6),'DSCR (RT)'!$S$24='Feed(DSCR)'!$K$10,OR('DSCR (RT)'!$S$20=$G$3:$G$6),OR('DSCR (RT)'!$S$11='Feed(DSCR)'!$B$9:$B$11),OR('DSCR (RT)'!$S$21='Feed(DSCR)'!$J$3)),NA(),"")</f>
        <v/>
      </c>
      <c r="N52" s="89" t="s">
        <v>401</v>
      </c>
      <c r="O52" s="99"/>
      <c r="P52" s="99"/>
      <c r="Q52" s="372" t="s">
        <v>310</v>
      </c>
      <c r="R52" s="371"/>
      <c r="S52" s="371" t="s">
        <v>402</v>
      </c>
      <c r="U52" s="363" t="s">
        <v>272</v>
      </c>
      <c r="V52" s="368"/>
      <c r="W52" s="363" t="s">
        <v>403</v>
      </c>
      <c r="Y52" s="363" t="s">
        <v>272</v>
      </c>
      <c r="Z52" s="368"/>
      <c r="AA52" s="363" t="s">
        <v>404</v>
      </c>
      <c r="AG52" s="150" t="s">
        <v>405</v>
      </c>
      <c r="AH52" s="339" t="str" cm="1">
        <f t="array" ref="AH52">IF(AND(OR('DSCR (RT)'!S13='Feed(DSCR)'!C8),'DSCR (RT)'!S17='Feed(DSCR)'!D3,OR('DSCR (RT)'!S11='Feed(DSCR)'!B6:B11),OR('DSCR (RT)'!S21='Feed(DSCR)'!J3:J4), OR('DSCR (RT)'!S24=K4:K5)),NA(),"")</f>
        <v/>
      </c>
      <c r="AI52" s="339" t="s">
        <v>406</v>
      </c>
      <c r="AJ52"/>
      <c r="AK52"/>
      <c r="AL52"/>
      <c r="AM52"/>
      <c r="AN52"/>
      <c r="AO52" s="101" t="s">
        <v>227</v>
      </c>
      <c r="AP52" s="101"/>
    </row>
    <row r="53" spans="1:42" x14ac:dyDescent="0.25">
      <c r="A53" s="375" t="s">
        <v>407</v>
      </c>
      <c r="B53" s="356"/>
      <c r="C53" s="377" t="s">
        <v>408</v>
      </c>
      <c r="D53" s="99"/>
      <c r="F53" s="363" t="s">
        <v>398</v>
      </c>
      <c r="G53" s="363"/>
      <c r="H53" s="363" t="s">
        <v>409</v>
      </c>
      <c r="K53"/>
      <c r="L53" t="s">
        <v>410</v>
      </c>
      <c r="M53" s="339" t="str" cm="1">
        <f t="array" ref="M53">IF(AND(OR('DSCR (RT)'!$S$12='Feed(DSCR)'!$A$7),'DSCR (RT)'!$S$24='Feed(DSCR)'!$K$10,OR('DSCR (RT)'!$S$20=$G$3:$G$6),OR('DSCR (RT)'!$S$11='Feed(DSCR)'!$B$9:$B$11),OR('DSCR (RT)'!$S$21='Feed(DSCR)'!$J$3)),NA(),"")</f>
        <v/>
      </c>
      <c r="N53" t="s">
        <v>411</v>
      </c>
      <c r="Q53" s="372" t="s">
        <v>310</v>
      </c>
      <c r="R53" s="371"/>
      <c r="S53" s="371" t="s">
        <v>412</v>
      </c>
      <c r="U53" s="363" t="s">
        <v>272</v>
      </c>
      <c r="V53" s="368"/>
      <c r="W53" s="363" t="s">
        <v>413</v>
      </c>
      <c r="Y53" s="363" t="s">
        <v>272</v>
      </c>
      <c r="Z53" s="368"/>
      <c r="AA53" s="363" t="s">
        <v>414</v>
      </c>
      <c r="AG53" s="150" t="s">
        <v>405</v>
      </c>
      <c r="AH53" s="339" t="str" cm="1">
        <f t="array" ref="AH53">IF(AND(OR('DSCR (RT)'!S13='Feed(DSCR)'!C8),'DSCR (RT)'!S17='Feed(DSCR)'!D3,OR('DSCR (RT)'!S11=B6:B11),OR('DSCR (RT)'!S21='Feed(DSCR)'!J6:J7), OR('DSCR (RT)'!S24=K4:K5)),NA(),"")</f>
        <v/>
      </c>
      <c r="AI53" s="339" t="s">
        <v>821</v>
      </c>
      <c r="AJ53"/>
      <c r="AK53"/>
      <c r="AL53"/>
      <c r="AM53"/>
      <c r="AN53"/>
      <c r="AO53" s="101" t="s">
        <v>227</v>
      </c>
      <c r="AP53" s="101"/>
    </row>
    <row r="54" spans="1:42" x14ac:dyDescent="0.25">
      <c r="A54" s="375" t="s">
        <v>417</v>
      </c>
      <c r="B54" s="356"/>
      <c r="C54" s="377" t="s">
        <v>418</v>
      </c>
      <c r="D54" s="99"/>
      <c r="F54" s="363" t="s">
        <v>419</v>
      </c>
      <c r="G54" s="363"/>
      <c r="H54" s="363" t="s">
        <v>420</v>
      </c>
      <c r="K54"/>
      <c r="L54" t="s">
        <v>421</v>
      </c>
      <c r="M54" s="339" t="str" cm="1">
        <f t="array" ref="M54">IF(AND(OR('DSCR (RT)'!$S$12='Feed(DSCR)'!$A$8),'DSCR (RT)'!$S$24='Feed(DSCR)'!$K$10,OR('DSCR (RT)'!$S$20=$G$3:$G$6),OR('DSCR (RT)'!$S$11='Feed(DSCR)'!$B$8:$B$11),OR('DSCR (RT)'!$S$21='Feed(DSCR)'!$J$3)),NA(),"")</f>
        <v/>
      </c>
      <c r="N54" t="s">
        <v>422</v>
      </c>
      <c r="Q54" s="372" t="s">
        <v>310</v>
      </c>
      <c r="R54" s="371"/>
      <c r="S54" s="371" t="s">
        <v>423</v>
      </c>
      <c r="U54" s="363" t="s">
        <v>272</v>
      </c>
      <c r="V54" s="368"/>
      <c r="W54" s="363" t="s">
        <v>424</v>
      </c>
      <c r="Y54" s="363" t="s">
        <v>272</v>
      </c>
      <c r="Z54" s="368"/>
      <c r="AA54" s="363" t="s">
        <v>425</v>
      </c>
      <c r="AG54" s="150" t="s">
        <v>405</v>
      </c>
      <c r="AH54" s="339" t="str" cm="1">
        <f t="array" ref="AH54">IF(AND(OR('DSCR (RT)'!S13=C8:C10),'DSCR (RT)'!S17='Feed(DSCR)'!D3,OR('DSCR (RT)'!S11=B8:B11),OR('DSCR (RT)'!S21='Feed(DSCR)'!J3:J4), OR('DSCR (RT)'!S24=K6:K8)),NA(),"")</f>
        <v/>
      </c>
      <c r="AI54" s="339" t="s">
        <v>820</v>
      </c>
      <c r="AJ54"/>
      <c r="AK54"/>
      <c r="AL54"/>
      <c r="AM54"/>
      <c r="AN54"/>
      <c r="AO54" s="101" t="s">
        <v>227</v>
      </c>
      <c r="AP54" s="101"/>
    </row>
    <row r="55" spans="1:42" x14ac:dyDescent="0.25">
      <c r="A55" s="375" t="s">
        <v>426</v>
      </c>
      <c r="B55" s="374"/>
      <c r="C55" s="363" t="s">
        <v>427</v>
      </c>
      <c r="D55" s="99"/>
      <c r="F55" s="363" t="s">
        <v>419</v>
      </c>
      <c r="G55" s="363"/>
      <c r="H55" s="363" t="s">
        <v>428</v>
      </c>
      <c r="K55"/>
      <c r="L55" t="s">
        <v>429</v>
      </c>
      <c r="M55" s="339" t="str" cm="1">
        <f t="array" ref="M55">IF(AND(OR('DSCR (RT)'!$S$12='Feed(DSCR)'!$A$3:$A$6),'DSCR (RT)'!$S$24='Feed(DSCR)'!$K$10,OR('DSCR (RT)'!$S$20=$G$7:$G$12),OR('DSCR (RT)'!$S$11='Feed(DSCR)'!$B$8:$B$11),OR('DSCR (RT)'!$S$21='Feed(DSCR)'!$J$3)),NA(),"")</f>
        <v/>
      </c>
      <c r="N55" t="s">
        <v>430</v>
      </c>
      <c r="Q55" s="372" t="s">
        <v>310</v>
      </c>
      <c r="R55" s="371"/>
      <c r="S55" s="372" t="s">
        <v>431</v>
      </c>
      <c r="U55" s="363" t="s">
        <v>272</v>
      </c>
      <c r="V55" s="368"/>
      <c r="W55" s="363" t="s">
        <v>432</v>
      </c>
      <c r="Y55" s="363" t="s">
        <v>272</v>
      </c>
      <c r="Z55" s="368"/>
      <c r="AA55" s="363" t="s">
        <v>433</v>
      </c>
      <c r="AG55" s="150" t="s">
        <v>405</v>
      </c>
      <c r="AH55" s="339" t="str" cm="1">
        <f t="array" ref="AH55">IF(AND(OR('DSCR (RT)'!S13=C8:C10),'DSCR (RT)'!S17='Feed(DSCR)'!D3,OR('DSCR (RT)'!S11=B6:B11),OR('DSCR (RT)'!S21=J5:J7), OR('DSCR (RT)'!S24=K6:K8)),NA(),"")</f>
        <v/>
      </c>
      <c r="AI55" s="339" t="s">
        <v>821</v>
      </c>
      <c r="AJ55"/>
      <c r="AK55"/>
      <c r="AL55"/>
      <c r="AM55"/>
      <c r="AN55"/>
      <c r="AO55" s="101" t="s">
        <v>227</v>
      </c>
      <c r="AP55" s="101"/>
    </row>
    <row r="56" spans="1:42" x14ac:dyDescent="0.25">
      <c r="A56" s="375" t="s">
        <v>434</v>
      </c>
      <c r="B56" s="374"/>
      <c r="C56" s="363" t="s">
        <v>435</v>
      </c>
      <c r="D56" s="99"/>
      <c r="F56" s="363" t="s">
        <v>398</v>
      </c>
      <c r="G56" s="363"/>
      <c r="H56" s="363" t="s">
        <v>436</v>
      </c>
      <c r="K56"/>
      <c r="L56" t="s">
        <v>437</v>
      </c>
      <c r="M56" s="339" t="str" cm="1">
        <f t="array" ref="M56">IF(AND(OR('DSCR (RT)'!$S$12='Feed(DSCR)'!$A$7),'DSCR (RT)'!$S$24='Feed(DSCR)'!$K$10,OR('DSCR (RT)'!$S$20=$G$7:$G$12),OR('DSCR (RT)'!$S$11='Feed(DSCR)'!$B$8:$B$11),OR('DSCR (RT)'!$S$21='Feed(DSCR)'!$J$3)),NA(),"")</f>
        <v/>
      </c>
      <c r="N56" t="s">
        <v>438</v>
      </c>
      <c r="Q56" s="372" t="s">
        <v>310</v>
      </c>
      <c r="R56" s="370"/>
      <c r="S56" s="372" t="s">
        <v>439</v>
      </c>
      <c r="U56" s="363" t="s">
        <v>272</v>
      </c>
      <c r="V56" s="368"/>
      <c r="W56" s="363" t="s">
        <v>440</v>
      </c>
      <c r="Y56" s="363" t="s">
        <v>272</v>
      </c>
      <c r="Z56" s="368"/>
      <c r="AA56" s="363" t="s">
        <v>441</v>
      </c>
      <c r="AJ56"/>
      <c r="AK56"/>
      <c r="AL56"/>
      <c r="AM56"/>
      <c r="AN56"/>
      <c r="AO56" s="101" t="s">
        <v>227</v>
      </c>
      <c r="AP56" s="101"/>
    </row>
    <row r="57" spans="1:42" x14ac:dyDescent="0.25">
      <c r="A57" s="375" t="s">
        <v>442</v>
      </c>
      <c r="B57" s="374"/>
      <c r="C57" s="363" t="s">
        <v>443</v>
      </c>
      <c r="D57" s="99"/>
      <c r="F57" s="363" t="s">
        <v>398</v>
      </c>
      <c r="G57" s="363"/>
      <c r="H57" s="363" t="s">
        <v>444</v>
      </c>
      <c r="K57"/>
      <c r="L57" t="s">
        <v>445</v>
      </c>
      <c r="M57" s="339" t="str" cm="1">
        <f t="array" ref="M57">IF(AND(OR('DSCR (RT)'!$S$12='Feed(DSCR)'!$A$8),'DSCR (RT)'!$S$24='Feed(DSCR)'!$K$10,OR('DSCR (RT)'!$S$20=$G$7),OR('DSCR (RT)'!$S$11='Feed(DSCR)'!$B$7:$B$11),OR('DSCR (RT)'!$S$21='Feed(DSCR)'!$J$3)),NA(),"")</f>
        <v/>
      </c>
      <c r="N57" t="s">
        <v>446</v>
      </c>
      <c r="Q57" s="372" t="s">
        <v>310</v>
      </c>
      <c r="R57" s="371"/>
      <c r="S57" s="372" t="s">
        <v>447</v>
      </c>
      <c r="U57" s="363" t="s">
        <v>272</v>
      </c>
      <c r="V57" s="368"/>
      <c r="W57" s="363" t="s">
        <v>448</v>
      </c>
      <c r="Y57" s="363" t="s">
        <v>272</v>
      </c>
      <c r="Z57" s="368"/>
      <c r="AA57" s="363" t="s">
        <v>449</v>
      </c>
      <c r="AG57" s="585"/>
      <c r="AH57" s="586"/>
      <c r="AI57" s="586"/>
      <c r="AJ57"/>
      <c r="AK57"/>
      <c r="AL57"/>
      <c r="AM57"/>
      <c r="AN57"/>
      <c r="AO57" s="101" t="s">
        <v>227</v>
      </c>
      <c r="AP57" s="101"/>
    </row>
    <row r="58" spans="1:42" x14ac:dyDescent="0.25">
      <c r="A58" s="375" t="s">
        <v>452</v>
      </c>
      <c r="B58" s="374"/>
      <c r="C58" s="363" t="s">
        <v>453</v>
      </c>
      <c r="D58" s="99"/>
      <c r="F58" s="363" t="s">
        <v>419</v>
      </c>
      <c r="G58" s="363"/>
      <c r="H58" s="363" t="s">
        <v>454</v>
      </c>
      <c r="K58"/>
      <c r="L58" t="s">
        <v>455</v>
      </c>
      <c r="M58" s="339" t="str" cm="1">
        <f t="array" ref="M58">IF(AND(OR('DSCR (RT)'!$S$12='Feed(DSCR)'!$A$3:$A$6),'DSCR (RT)'!$S$24='Feed(DSCR)'!$K$10,OR('DSCR (RT)'!$S$20=$G$3:$G$6),OR('DSCR (RT)'!$S$11='Feed(DSCR)'!$B$7:$B$11),OR('DSCR (RT)'!$S$21='Feed(DSCR)'!$J$6:$J$7)),NA(),"")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01" t="s">
        <v>227</v>
      </c>
      <c r="AP58" s="101"/>
    </row>
    <row r="59" spans="1:42" x14ac:dyDescent="0.25">
      <c r="A59" s="379" t="s">
        <v>176</v>
      </c>
      <c r="B59" s="190" t="str" cm="1">
        <f t="array" ref="B59">IF(AND(OR('DSCR (RT)'!S11=B8:B11),OR('DSCR (RT)'!S12=A11:A12),'DSCR (RT)'!S17=D3),NA(),"")</f>
        <v/>
      </c>
      <c r="C59" s="378" t="s">
        <v>462</v>
      </c>
      <c r="F59" s="363" t="s">
        <v>419</v>
      </c>
      <c r="G59" s="363"/>
      <c r="H59" s="363" t="s">
        <v>463</v>
      </c>
      <c r="K59"/>
      <c r="L59" t="s">
        <v>464</v>
      </c>
      <c r="M59" s="339" t="str" cm="1">
        <f t="array" ref="M59">IF(AND(OR('DSCR (RT)'!$S$12='Feed(DSCR)'!$A$7),'DSCR (RT)'!$S$24='Feed(DSCR)'!$K$10,OR('DSCR (RT)'!$S$20=$G$3:$G$6),OR('DSCR (RT)'!$S$11='Feed(DSCR)'!$B$7:$B$11),OR('DSCR (RT)'!$S$21='Feed(DSCR)'!$J$6:$J$7)),NA(),"")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3" t="s">
        <v>398</v>
      </c>
      <c r="G60" s="363"/>
      <c r="H60" s="363" t="s">
        <v>472</v>
      </c>
      <c r="K60"/>
      <c r="L60" t="s">
        <v>473</v>
      </c>
      <c r="M60" s="339" t="str" cm="1">
        <f t="array" ref="M60">IF(AND(OR('DSCR (RT)'!$S$12='Feed(DSCR)'!$A$8),'DSCR (RT)'!$S$24='Feed(DSCR)'!$K$10,OR('DSCR (RT)'!$S$20=$G$3:$G$6),OR('DSCR (RT)'!$S$11='Feed(DSCR)'!$B$6:$B$11),OR('DSCR (RT)'!$S$21='Feed(DSCR)'!$J$6:$J$7)),NA(),"")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3" t="s">
        <v>419</v>
      </c>
      <c r="G61" s="363"/>
      <c r="H61" s="363" t="s">
        <v>480</v>
      </c>
      <c r="I61"/>
      <c r="J61"/>
      <c r="K61"/>
      <c r="L61" t="s">
        <v>481</v>
      </c>
      <c r="M61" s="339" t="str" cm="1">
        <f t="array" ref="M61">IF(AND(OR('DSCR (RT)'!$S$12='Feed(DSCR)'!$A$3:$A$6),'DSCR (RT)'!$S$24='Feed(DSCR)'!$K$10,OR('DSCR (RT)'!$S$20=$G$7),OR('DSCR (RT)'!$S$11='Feed(DSCR)'!$B$7:$B$11),OR('DSCR (RT)'!$S$21='Feed(DSCR)'!$J$6:$J$7)),NA(),"")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01" t="s">
        <v>227</v>
      </c>
      <c r="AP61" s="101"/>
    </row>
    <row r="62" spans="1:42" x14ac:dyDescent="0.25">
      <c r="A62" s="374" t="s">
        <v>488</v>
      </c>
      <c r="B62" s="374"/>
      <c r="C62" s="363" t="s">
        <v>489</v>
      </c>
      <c r="F62" s="363" t="s">
        <v>419</v>
      </c>
      <c r="G62" s="363"/>
      <c r="H62" s="363" t="s">
        <v>490</v>
      </c>
      <c r="I62"/>
      <c r="J62"/>
      <c r="K62"/>
      <c r="L62" t="s">
        <v>491</v>
      </c>
      <c r="M62" s="150" t="str" cm="1">
        <f t="array" ref="M62">IF(AND(OR('DSCR (RT)'!$S$12='Feed(DSCR)'!$A$7),'DSCR (RT)'!$S$24='Feed(DSCR)'!$K$10,OR('DSCR (RT)'!$S$20=$G$7),OR('DSCR (RT)'!$S$11='Feed(DSCR)'!$B$7:$B$11),OR('DSCR (RT)'!$S$21='Feed(DSCR)'!$J$6:$J$7)),NA(),"")</f>
        <v/>
      </c>
      <c r="N62" s="89" t="s">
        <v>492</v>
      </c>
      <c r="Q62" s="372" t="s">
        <v>310</v>
      </c>
      <c r="R62" s="371"/>
      <c r="S62" s="372" t="s">
        <v>493</v>
      </c>
      <c r="U62" s="363" t="s">
        <v>272</v>
      </c>
      <c r="V62" s="368"/>
      <c r="W62" s="363" t="s">
        <v>494</v>
      </c>
      <c r="Y62" s="363" t="s">
        <v>272</v>
      </c>
      <c r="Z62" s="368"/>
      <c r="AA62" s="363" t="s">
        <v>495</v>
      </c>
      <c r="AG62" s="366"/>
      <c r="AH62" s="366"/>
      <c r="AI62" s="366"/>
      <c r="AJ62"/>
      <c r="AK62"/>
      <c r="AL62"/>
      <c r="AM62"/>
      <c r="AN62"/>
      <c r="AO62" s="101" t="s">
        <v>227</v>
      </c>
      <c r="AP62" s="101"/>
    </row>
    <row r="63" spans="1:42" x14ac:dyDescent="0.25">
      <c r="A63" s="374" t="s">
        <v>496</v>
      </c>
      <c r="B63" s="374"/>
      <c r="C63" s="363" t="s">
        <v>497</v>
      </c>
      <c r="F63" s="363" t="s">
        <v>398</v>
      </c>
      <c r="G63" s="363"/>
      <c r="H63" s="363" t="s">
        <v>498</v>
      </c>
      <c r="I63"/>
      <c r="J63"/>
      <c r="K63"/>
      <c r="L63" t="s">
        <v>499</v>
      </c>
      <c r="M63" s="150" t="str" cm="1">
        <f t="array" ref="M63">IF(AND(OR('DSCR (RT)'!$S$12='Feed(DSCR)'!$A$8),'DSCR (RT)'!$S$24='Feed(DSCR)'!$K$10,OR('DSCR (RT)'!$S$20=$G$7),OR('DSCR (RT)'!$S$11='Feed(DSCR)'!$B$6:$B$11),OR('DSCR (RT)'!$S$21='Feed(DSCR)'!$J$6:$J$7)),NA(),"")</f>
        <v/>
      </c>
      <c r="N63" s="89" t="s">
        <v>500</v>
      </c>
      <c r="Q63" s="372" t="s">
        <v>310</v>
      </c>
      <c r="R63" s="371"/>
      <c r="S63" s="372" t="s">
        <v>501</v>
      </c>
      <c r="U63" s="363" t="s">
        <v>272</v>
      </c>
      <c r="V63" s="368"/>
      <c r="W63" s="363" t="s">
        <v>502</v>
      </c>
      <c r="Y63" s="363" t="s">
        <v>272</v>
      </c>
      <c r="Z63" s="368"/>
      <c r="AA63" s="363" t="s">
        <v>503</v>
      </c>
      <c r="AG63"/>
      <c r="AH63"/>
      <c r="AI63"/>
      <c r="AJ63"/>
      <c r="AK63"/>
      <c r="AL63"/>
      <c r="AM63"/>
      <c r="AN63"/>
      <c r="AO63" s="101" t="s">
        <v>227</v>
      </c>
      <c r="AP63" s="101"/>
    </row>
    <row r="64" spans="1:42" x14ac:dyDescent="0.25">
      <c r="A64" s="374" t="s">
        <v>504</v>
      </c>
      <c r="B64" s="374"/>
      <c r="C64" s="363" t="s">
        <v>505</v>
      </c>
      <c r="F64" s="363" t="s">
        <v>419</v>
      </c>
      <c r="G64" s="363"/>
      <c r="H64" s="363" t="s">
        <v>506</v>
      </c>
      <c r="I64"/>
      <c r="J64"/>
      <c r="K64"/>
      <c r="L64" t="s">
        <v>507</v>
      </c>
      <c r="M64" s="150" t="str" cm="1">
        <f t="array" ref="M64">IF(AND(OR('DSCR (RT)'!$S$12='Feed(DSCR)'!$A$3:$A$6),'DSCR (RT)'!$S$24='Feed(DSCR)'!$K$10,OR('DSCR (RT)'!$S$20=$G$3:$G$6),OR('DSCR (RT)'!$S$11='Feed(DSCR)'!$B$9:$B$11),OR('DSCR (RT)'!$S$21='Feed(DSCR)'!$J$4)),NA(),"")</f>
        <v/>
      </c>
      <c r="N64" s="89" t="s">
        <v>508</v>
      </c>
      <c r="Q64" s="372" t="s">
        <v>310</v>
      </c>
      <c r="R64" s="371"/>
      <c r="S64" s="372" t="s">
        <v>509</v>
      </c>
      <c r="U64" s="363" t="s">
        <v>272</v>
      </c>
      <c r="V64" s="368"/>
      <c r="W64" s="363" t="s">
        <v>510</v>
      </c>
      <c r="Y64" s="363" t="s">
        <v>272</v>
      </c>
      <c r="Z64" s="368"/>
      <c r="AA64" s="363" t="s">
        <v>511</v>
      </c>
      <c r="AG64"/>
      <c r="AH64"/>
      <c r="AI64"/>
      <c r="AJ64"/>
      <c r="AK64"/>
      <c r="AL64"/>
      <c r="AM64"/>
      <c r="AN64"/>
      <c r="AO64" s="101" t="s">
        <v>227</v>
      </c>
      <c r="AP64" s="101"/>
    </row>
    <row r="65" spans="1:42" ht="15.75" thickBot="1" x14ac:dyDescent="0.3">
      <c r="A65" s="374" t="s">
        <v>512</v>
      </c>
      <c r="B65" s="374"/>
      <c r="C65" s="363" t="s">
        <v>513</v>
      </c>
      <c r="F65" s="363" t="s">
        <v>514</v>
      </c>
      <c r="G65" s="363"/>
      <c r="H65" s="363" t="s">
        <v>515</v>
      </c>
      <c r="I65"/>
      <c r="J65"/>
      <c r="K65"/>
      <c r="L65" t="s">
        <v>516</v>
      </c>
      <c r="M65" s="150" t="str" cm="1">
        <f t="array" ref="M65">IF(AND(OR('DSCR (RT)'!$S$12='Feed(DSCR)'!$A$7),'DSCR (RT)'!$S$24='Feed(DSCR)'!$K$10,OR('DSCR (RT)'!$S$20=$G$3:$G$6),OR('DSCR (RT)'!$S$11=$B$9:$B$11),OR('DSCR (RT)'!$S$21='Feed(DSCR)'!$J$4)),NA(),"")</f>
        <v/>
      </c>
      <c r="N65" s="89" t="s">
        <v>517</v>
      </c>
      <c r="Q65" s="372" t="s">
        <v>310</v>
      </c>
      <c r="R65" s="371"/>
      <c r="S65" s="372" t="s">
        <v>518</v>
      </c>
      <c r="U65" s="363" t="s">
        <v>272</v>
      </c>
      <c r="V65" s="368"/>
      <c r="W65" s="363" t="s">
        <v>519</v>
      </c>
      <c r="Y65" s="363" t="s">
        <v>272</v>
      </c>
      <c r="Z65" s="368"/>
      <c r="AA65" s="363" t="s">
        <v>520</v>
      </c>
      <c r="AG65" s="124" t="s">
        <v>521</v>
      </c>
      <c r="AH65" s="587"/>
      <c r="AI65" s="587"/>
      <c r="AJ65"/>
      <c r="AK65"/>
      <c r="AL65"/>
      <c r="AM65"/>
      <c r="AN65"/>
      <c r="AO65" s="101"/>
      <c r="AP65" s="101"/>
    </row>
    <row r="66" spans="1:42" x14ac:dyDescent="0.25">
      <c r="A66" s="191" t="s">
        <v>522</v>
      </c>
      <c r="B66" s="191" t="str" cm="1">
        <f t="array" ref="B66">IF(AND(OR('DSCR (RT)'!S29=T5),OR('DSCR (RT)'!S27=H3),OR('DSCR (RT)'!S23=L5:L6)),NA(),"")</f>
        <v/>
      </c>
      <c r="C66" s="150"/>
      <c r="F66" s="363" t="s">
        <v>514</v>
      </c>
      <c r="G66" s="363"/>
      <c r="H66" s="363" t="s">
        <v>523</v>
      </c>
      <c r="I66"/>
      <c r="J66"/>
      <c r="K66"/>
      <c r="L66" s="89" t="s">
        <v>524</v>
      </c>
      <c r="M66" s="150" t="str" cm="1">
        <f t="array" ref="M66">IF(AND(OR('DSCR (RT)'!$S$12='Feed(DSCR)'!$A$8),'DSCR (RT)'!$S$24='Feed(DSCR)'!$K$10,OR('DSCR (RT)'!$S$20=$G$7:$G$12),OR('DSCR (RT)'!$S$11='Feed(DSCR)'!$B$7:$B$11),OR('DSCR (RT)'!$S$21='Feed(DSCR)'!$J$4)),NA(),"")</f>
        <v/>
      </c>
      <c r="N66" s="89" t="s">
        <v>525</v>
      </c>
      <c r="Q66" s="372" t="s">
        <v>310</v>
      </c>
      <c r="R66" s="371"/>
      <c r="S66" s="372" t="s">
        <v>526</v>
      </c>
      <c r="U66" s="363" t="s">
        <v>272</v>
      </c>
      <c r="V66" s="368"/>
      <c r="W66" s="363" t="s">
        <v>527</v>
      </c>
      <c r="Y66" s="363" t="s">
        <v>272</v>
      </c>
      <c r="Z66" s="368"/>
      <c r="AA66" s="363" t="s">
        <v>528</v>
      </c>
      <c r="AG66" s="339" t="s">
        <v>529</v>
      </c>
      <c r="AH66" s="339" t="str">
        <f>IF(AND(
   ISNUMBER(MATCH('DSCR (RT)'!$S$12, $A$8:$A$12, 0)),
   'DSCR (RT)'!$S$13 = $C$9
), NA(), "")</f>
        <v/>
      </c>
      <c r="AI66" s="339" t="s">
        <v>530</v>
      </c>
      <c r="AJ66"/>
      <c r="AK66"/>
      <c r="AL66"/>
      <c r="AM66"/>
      <c r="AN66"/>
      <c r="AO66" s="101"/>
      <c r="AP66" s="101"/>
    </row>
    <row r="67" spans="1:42" x14ac:dyDescent="0.25">
      <c r="A67" s="125" t="s">
        <v>531</v>
      </c>
      <c r="B67" s="561">
        <f>SUM(B39:B66)+SUM(G38:G76)+SUM(M38:M77)+SUM(R38:R82)+SUM(AH38:AH113)+SUM(Z37:Z125)+SUM(V37:V92)+SUM(AL38:AL45)</f>
        <v>0</v>
      </c>
      <c r="F67" s="363" t="s">
        <v>514</v>
      </c>
      <c r="G67" s="363"/>
      <c r="H67" s="363" t="s">
        <v>532</v>
      </c>
      <c r="I67"/>
      <c r="J67"/>
      <c r="K67"/>
      <c r="L67" s="89" t="s">
        <v>533</v>
      </c>
      <c r="M67" s="150" t="str" cm="1">
        <f t="array" ref="M67">IF(AND(OR('DSCR (RT)'!$S$12='Feed(DSCR)'!$A$3:$A$6),'DSCR (RT)'!$S$24='Feed(DSCR)'!$K$10,OR('DSCR (RT)'!$S$20=$G$7:$G$12),OR('DSCR (RT)'!$S$11='Feed(DSCR)'!$B$8:$B$11),OR('DSCR (RT)'!$S$21='Feed(DSCR)'!$J$4)),NA(),"")</f>
        <v/>
      </c>
      <c r="N67" s="89" t="s">
        <v>534</v>
      </c>
      <c r="Q67" s="372" t="s">
        <v>310</v>
      </c>
      <c r="R67" s="371"/>
      <c r="S67" s="372" t="s">
        <v>535</v>
      </c>
      <c r="U67" s="363" t="s">
        <v>272</v>
      </c>
      <c r="V67" s="368"/>
      <c r="W67" s="363" t="s">
        <v>536</v>
      </c>
      <c r="Y67" s="363" t="s">
        <v>272</v>
      </c>
      <c r="Z67" s="368"/>
      <c r="AA67" s="363"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3" t="s">
        <v>514</v>
      </c>
      <c r="G68" s="363"/>
      <c r="H68" s="363" t="s">
        <v>540</v>
      </c>
      <c r="I68"/>
      <c r="J68"/>
      <c r="K68"/>
      <c r="L68" s="89" t="s">
        <v>541</v>
      </c>
      <c r="M68" s="150" t="str" cm="1">
        <f t="array" ref="M68">IF(AND(OR('DSCR (RT)'!$S$12='Feed(DSCR)'!$A$7),'DSCR (RT)'!$S$24='Feed(DSCR)'!$K$10,OR('DSCR (RT)'!$S$20=$G$7:$G$12),OR('DSCR (RT)'!$S$11='Feed(DSCR)'!$B$7:$B$11),OR('DSCR (RT)'!$S$21='Feed(DSCR)'!$J$4)),NA(),"")</f>
        <v/>
      </c>
      <c r="N68" s="89" t="s">
        <v>542</v>
      </c>
      <c r="Q68" s="372" t="s">
        <v>310</v>
      </c>
      <c r="R68" s="371"/>
      <c r="S68" s="372" t="s">
        <v>543</v>
      </c>
      <c r="U68" s="363" t="s">
        <v>272</v>
      </c>
      <c r="V68" s="368"/>
      <c r="W68" s="363" t="s">
        <v>544</v>
      </c>
      <c r="Y68" s="363" t="s">
        <v>272</v>
      </c>
      <c r="Z68" s="368"/>
      <c r="AA68" s="363"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6" t="e" cm="1">
        <f t="array" ref="A69">IF(AND(#REF!='Feed(DSCR)'!J3,OR(#REF!='Feed(DSCR)'!B10:B11),#REF!='Feed(DSCR)'!C4),TRUE(),FALSE)</f>
        <v>#REF!</v>
      </c>
      <c r="B69" s="367" t="s">
        <v>547</v>
      </c>
      <c r="C69"/>
      <c r="F69" s="363" t="s">
        <v>514</v>
      </c>
      <c r="G69" s="363"/>
      <c r="H69" s="363" t="s">
        <v>548</v>
      </c>
      <c r="I69"/>
      <c r="J69"/>
      <c r="K69"/>
      <c r="L69" s="89" t="s">
        <v>549</v>
      </c>
      <c r="M69" s="150" t="str" cm="1">
        <f t="array" ref="M69">IF(AND(OR('DSCR (RT)'!$S$12='Feed(DSCR)'!$A$8),'DSCR (RT)'!$S$24='Feed(DSCR)'!$K$10,OR('DSCR (RT)'!$S$20=$G$7),OR('DSCR (RT)'!$S$11='Feed(DSCR)'!$B$7:$B$11),OR('DSCR (RT)'!$S$21='Feed(DSCR)'!$J$4)),NA(),"")</f>
        <v/>
      </c>
      <c r="N69" s="89" t="s">
        <v>550</v>
      </c>
      <c r="Q69" s="372" t="s">
        <v>310</v>
      </c>
      <c r="R69" s="371"/>
      <c r="S69" s="372" t="s">
        <v>551</v>
      </c>
      <c r="U69" s="363" t="s">
        <v>272</v>
      </c>
      <c r="V69" s="368"/>
      <c r="W69" s="363" t="s">
        <v>552</v>
      </c>
      <c r="Y69" s="363" t="s">
        <v>272</v>
      </c>
      <c r="Z69" s="368"/>
      <c r="AA69" s="363"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6" t="e" cm="1">
        <f t="array" ref="A70">IF(AND(#REF!='Feed(DSCR)'!B10,#REF!='Feed(DSCR)'!C4,OR(#REF!='Feed(DSCR)'!A3:A6),#REF!='Feed(DSCR)'!J3,#REF!='Feed(DSCR)'!L3),TRUE,FALSE)</f>
        <v>#REF!</v>
      </c>
      <c r="B70" s="367" t="s">
        <v>555</v>
      </c>
      <c r="C70"/>
      <c r="F70" s="363" t="s">
        <v>514</v>
      </c>
      <c r="G70" s="363"/>
      <c r="H70" s="363" t="s">
        <v>556</v>
      </c>
      <c r="J70"/>
      <c r="K70"/>
      <c r="L70" s="89" t="s">
        <v>557</v>
      </c>
      <c r="M70" s="150" t="str" cm="1">
        <f t="array" ref="M70">IF(AND(OR('DSCR (RT)'!$S$12='Feed(DSCR)'!$A$3:$A$12),'DSCR (RT)'!$S$24='Feed(DSCR)'!$K$10,OR('DSCR (RT)'!$S$20=$G$10:$G$12)),NA(),"")</f>
        <v/>
      </c>
      <c r="N70" s="89" t="s">
        <v>799</v>
      </c>
      <c r="Q70" s="372" t="s">
        <v>310</v>
      </c>
      <c r="R70" s="371"/>
      <c r="S70" s="372" t="s">
        <v>559</v>
      </c>
      <c r="U70" s="363" t="s">
        <v>272</v>
      </c>
      <c r="V70" s="368"/>
      <c r="W70" s="363" t="s">
        <v>560</v>
      </c>
      <c r="Y70" s="363" t="s">
        <v>272</v>
      </c>
      <c r="Z70" s="368"/>
      <c r="AA70" s="363"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6" t="e" cm="1">
        <f t="array" ref="A71">OR(#REF!='Feed(DSCR)'!B3:B9)</f>
        <v>#REF!</v>
      </c>
      <c r="B71" s="367" t="s">
        <v>564</v>
      </c>
      <c r="C71"/>
      <c r="F71" s="363" t="s">
        <v>565</v>
      </c>
      <c r="G71" s="363"/>
      <c r="H71" s="363" t="s">
        <v>566</v>
      </c>
      <c r="J71"/>
      <c r="K71"/>
      <c r="L71" s="89" t="s">
        <v>567</v>
      </c>
      <c r="M71" s="150" t="str" cm="1">
        <f t="array" ref="M71">IF(AND(OR('DSCR (RT)'!$S$12='Feed(DSCR)'!$A$9:$A$12),'DSCR (RT)'!$S$24='Feed(DSCR)'!$K$10,OR('DSCR (RT)'!$S$20=$G$3:$G$12)),NA(),"")</f>
        <v/>
      </c>
      <c r="N71" s="89" t="s">
        <v>568</v>
      </c>
      <c r="Q71" s="372" t="s">
        <v>310</v>
      </c>
      <c r="R71" s="371"/>
      <c r="S71" s="372" t="s">
        <v>569</v>
      </c>
      <c r="U71" s="363" t="s">
        <v>272</v>
      </c>
      <c r="V71" s="368"/>
      <c r="W71" s="363" t="s">
        <v>570</v>
      </c>
      <c r="Y71" s="363" t="s">
        <v>272</v>
      </c>
      <c r="Z71" s="368"/>
      <c r="AA71" s="363"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8" t="s">
        <v>573</v>
      </c>
      <c r="C72"/>
      <c r="F72" s="363" t="s">
        <v>574</v>
      </c>
      <c r="G72" s="363"/>
      <c r="H72" s="363" t="s">
        <v>575</v>
      </c>
      <c r="J72"/>
      <c r="K72"/>
      <c r="L72" s="89" t="s">
        <v>576</v>
      </c>
      <c r="M72" s="150" t="str">
        <f>IF(AND(OR('DSCR (RT)'!$S$13='Feed(DSCR)'!$C$5),'DSCR (RT)'!$S$24='Feed(DSCR)'!$K$10),NA(),"")</f>
        <v/>
      </c>
      <c r="N72" s="89" t="s">
        <v>577</v>
      </c>
      <c r="Q72" s="372" t="s">
        <v>310</v>
      </c>
      <c r="R72" s="371"/>
      <c r="S72" s="372" t="s">
        <v>578</v>
      </c>
      <c r="U72" s="363" t="s">
        <v>272</v>
      </c>
      <c r="V72" s="368"/>
      <c r="W72" s="363" t="s">
        <v>579</v>
      </c>
      <c r="Y72" s="363" t="s">
        <v>272</v>
      </c>
      <c r="Z72" s="368"/>
      <c r="AA72" s="363"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6" t="e" cm="1">
        <f t="array" ref="A73">IF(AND(OR(#REF!='Feed(DSCR)'!J3:J8),OR(#REF!='Feed(DSCR)'!B10:B11),#REF!='Feed(DSCR)'!C3),TRUE(),FALSE)</f>
        <v>#REF!</v>
      </c>
      <c r="B73" s="367" t="s">
        <v>581</v>
      </c>
      <c r="C73"/>
      <c r="F73" s="363" t="s">
        <v>582</v>
      </c>
      <c r="G73" s="363"/>
      <c r="H73" s="363" t="s">
        <v>583</v>
      </c>
      <c r="J73"/>
      <c r="K73"/>
      <c r="L73" s="89" t="s">
        <v>584</v>
      </c>
      <c r="M73" s="150" t="str" cm="1">
        <f t="array" ref="M73">IF(AND(OR('DSCR (RT)'!$S25=$M6:$M7,'DSCR (RT)'!$S25=$M8:$M10,'DSCR (RT)'!$S25=$M11:$M13),'DSCR (RT)'!$S$24='Feed(DSCR)'!$K$10),NA(),"")</f>
        <v/>
      </c>
      <c r="N73" s="89" t="s">
        <v>585</v>
      </c>
      <c r="Q73" s="372" t="s">
        <v>310</v>
      </c>
      <c r="R73" s="371"/>
      <c r="S73" s="372" t="s">
        <v>586</v>
      </c>
      <c r="U73" s="363" t="s">
        <v>272</v>
      </c>
      <c r="V73" s="368"/>
      <c r="W73" s="363" t="s">
        <v>587</v>
      </c>
      <c r="Y73" s="363" t="s">
        <v>272</v>
      </c>
      <c r="Z73" s="368"/>
      <c r="AA73" s="380" t="s">
        <v>588</v>
      </c>
      <c r="AG73" s="363" t="s">
        <v>589</v>
      </c>
      <c r="AH73" s="368"/>
      <c r="AI73" s="363" t="s">
        <v>590</v>
      </c>
      <c r="AJ73" s="101"/>
      <c r="AK73" s="101"/>
      <c r="AL73" s="101"/>
      <c r="AM73" s="101"/>
      <c r="AN73" s="101"/>
      <c r="AO73" s="101"/>
      <c r="AP73" s="101"/>
    </row>
    <row r="74" spans="1:42" x14ac:dyDescent="0.25">
      <c r="A74" s="356" t="e">
        <f>IF(AND(#REF!='Feed(DSCR)'!J4,OR(#REF!='Feed(DSCR)'!B10),#REF!='Feed(DSCR)'!C4),TRUE(),FALSE)</f>
        <v>#REF!</v>
      </c>
      <c r="B74" s="367" t="s">
        <v>591</v>
      </c>
      <c r="F74" s="363" t="s">
        <v>592</v>
      </c>
      <c r="G74" s="363"/>
      <c r="H74" s="363" t="s">
        <v>593</v>
      </c>
      <c r="L74" s="89" t="s">
        <v>594</v>
      </c>
      <c r="M74" s="150" t="str">
        <f>IF(AND(
   ISNUMBER(MATCH('DSCR (RT)'!$S$11, $B$9:$B$11, 0)),
   ISNUMBER(MATCH('DSCR (RT)'!$S$17, $D$3, 0)),
   ISNUMBER(MATCH('DSCR (RT)'!$S$19, $P$6, 0))
), NA(), "")</f>
        <v/>
      </c>
      <c r="N74" s="89" t="s">
        <v>595</v>
      </c>
      <c r="Q74" s="372" t="s">
        <v>310</v>
      </c>
      <c r="R74" s="371"/>
      <c r="S74" s="372" t="s">
        <v>596</v>
      </c>
      <c r="U74" s="363" t="s">
        <v>272</v>
      </c>
      <c r="V74" s="368"/>
      <c r="W74" s="363" t="s">
        <v>597</v>
      </c>
      <c r="Y74" s="363" t="s">
        <v>272</v>
      </c>
      <c r="Z74" s="368"/>
      <c r="AA74" s="363" t="s">
        <v>597</v>
      </c>
      <c r="AG74" s="363" t="s">
        <v>538</v>
      </c>
      <c r="AH74" s="368"/>
      <c r="AI74" s="363" t="s">
        <v>598</v>
      </c>
      <c r="AJ74" s="101"/>
      <c r="AK74" s="101"/>
      <c r="AL74" s="101"/>
      <c r="AM74" s="101"/>
      <c r="AN74" s="101"/>
      <c r="AO74" s="101"/>
      <c r="AP74" s="101"/>
    </row>
    <row r="75" spans="1:42" x14ac:dyDescent="0.25">
      <c r="A75" s="190" t="b" cm="1">
        <f t="array" ref="A75">IF(AND(OR('DSCR (RT)'!S21='Feed(DSCR)'!J3:J4),OR('DSCR (RT)'!S11='Feed(DSCR)'!B10),'DSCR (RT)'!S16='Feed(DSCR)'!D3),TRUE(),FALSE)</f>
        <v>0</v>
      </c>
      <c r="B75" s="378" t="s">
        <v>599</v>
      </c>
      <c r="F75" s="363" t="s">
        <v>600</v>
      </c>
      <c r="G75" s="363"/>
      <c r="H75" s="363" t="s">
        <v>601</v>
      </c>
      <c r="L75" s="89" t="s">
        <v>602</v>
      </c>
      <c r="M75" s="150" t="str">
        <f>IF(AND(
   ISNUMBER(MATCH('DSCR (RT)'!$S$11, $B$3:$B$11, 0)),
   ISNUMBER(MATCH('DSCR (RT)'!$S$13, $C$8:$C$9, 0)),
   ISNUMBER(MATCH('DSCR (RT)'!$S$19, $P$6, 0))
), NA(), "")</f>
        <v/>
      </c>
      <c r="N75" s="89" t="s">
        <v>603</v>
      </c>
      <c r="Q75" s="372" t="s">
        <v>310</v>
      </c>
      <c r="R75" s="371"/>
      <c r="S75" s="372" t="s">
        <v>604</v>
      </c>
      <c r="U75" s="150" t="s">
        <v>272</v>
      </c>
      <c r="V75" s="151" t="str">
        <f>IF(AND(
   ISNUMBER(MATCH('DSCR (RT)'!$S$11, $B$3:$B$11, 0)),
   ISNUMBER(MATCH('DSCR (RT)'!$S$15, $D$16, 0)),
   ISNUMBER(MATCH('DSCR (RT)'!$S$20, $G$3:$G$12, 0)),
   ISNUMBER(MATCH('DSCR (RT)'!$S$13, $C$5:$C$8, 0)),
   'DSCR (RT)'!$S$17 = $D$3
), NA(), "")</f>
        <v/>
      </c>
      <c r="W75" s="150" t="s">
        <v>605</v>
      </c>
      <c r="AG75" s="363" t="s">
        <v>538</v>
      </c>
      <c r="AH75" s="368"/>
      <c r="AI75" s="363"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2" t="s">
        <v>310</v>
      </c>
      <c r="R76" s="371"/>
      <c r="S76" s="372" t="s">
        <v>608</v>
      </c>
      <c r="U76" s="150" t="s">
        <v>272</v>
      </c>
      <c r="V76" s="151" t="str">
        <f>IF(AND(ISNUMBER(MATCH('DSCR (RT)'!$S$11,$B$3:$B$11,0)),ISNUMBER(MATCH('DSCR (RT)'!$S$15,$D$18,0)),ISNUMBER(MATCH('DSCR (RT)'!$S$20,$G$3:$G$12,0)),
   ISNUMBER(MATCH('DSCR (RT)'!$S$13,$C$5:$C$8,0)),'DSCR (RT)'!$S$17=$D$3),NA(),"")</f>
        <v/>
      </c>
      <c r="W76" s="150" t="s">
        <v>826</v>
      </c>
      <c r="AG76" s="363" t="s">
        <v>538</v>
      </c>
      <c r="AH76" s="363"/>
      <c r="AI76" s="363" t="s">
        <v>610</v>
      </c>
      <c r="AJ76" s="101"/>
      <c r="AK76" s="101"/>
      <c r="AL76" s="101"/>
      <c r="AM76" s="101"/>
      <c r="AN76" s="101"/>
      <c r="AO76" s="101"/>
      <c r="AP76" s="101"/>
    </row>
    <row r="77" spans="1:42" x14ac:dyDescent="0.25">
      <c r="L77" s="89" t="s">
        <v>178</v>
      </c>
      <c r="M77" s="150"/>
      <c r="N77" s="89" t="s">
        <v>611</v>
      </c>
      <c r="Q77" s="372" t="s">
        <v>612</v>
      </c>
      <c r="R77" s="469" t="str">
        <f>IF(AND(
   ISNUMBER(MATCH('DSCR (RT)'!$S$19, $P$6, 0)),
   ISNUMBER(MATCH('DSCR (RT)'!$S$11, $B$7:$B$11, 0)),
   ISNUMBER(MATCH('DSCR (RT)'!$S$21, $J$6:$J$7, 0)),
   ISNUMBER(MATCH('DSCR (RT)'!$S$20, $G$5, 0)),
), NA(), "")</f>
        <v/>
      </c>
      <c r="S77" s="372" t="s">
        <v>774</v>
      </c>
      <c r="AG77" s="363" t="s">
        <v>562</v>
      </c>
      <c r="AH77" s="368"/>
      <c r="AI77" s="363"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2" t="s">
        <v>612</v>
      </c>
      <c r="R78" s="371"/>
      <c r="S78" s="372" t="s">
        <v>614</v>
      </c>
      <c r="AG78" s="363" t="s">
        <v>562</v>
      </c>
      <c r="AH78" s="368"/>
      <c r="AI78" s="363" t="s">
        <v>615</v>
      </c>
      <c r="AJ78" s="101"/>
      <c r="AK78" s="101"/>
      <c r="AL78" s="101"/>
      <c r="AM78" s="101"/>
      <c r="AN78" s="101"/>
      <c r="AO78" s="101"/>
      <c r="AP78" s="101"/>
    </row>
    <row r="79" spans="1:42" x14ac:dyDescent="0.25">
      <c r="Q79" s="372" t="s">
        <v>612</v>
      </c>
      <c r="R79" s="371"/>
      <c r="S79" s="372" t="s">
        <v>616</v>
      </c>
      <c r="AG79" s="363" t="s">
        <v>562</v>
      </c>
      <c r="AH79" s="368"/>
      <c r="AI79" s="363" t="s">
        <v>617</v>
      </c>
      <c r="AJ79" s="101"/>
      <c r="AK79" s="101"/>
      <c r="AL79" s="101"/>
      <c r="AM79" s="101"/>
      <c r="AN79" s="101"/>
      <c r="AO79" s="101"/>
      <c r="AP79" s="101"/>
    </row>
    <row r="80" spans="1:42" ht="15.75" thickBot="1" x14ac:dyDescent="0.3">
      <c r="B80" s="702" t="s">
        <v>618</v>
      </c>
      <c r="C80" s="703"/>
      <c r="D80" s="703"/>
      <c r="E80" s="703"/>
      <c r="F80"/>
      <c r="I80" s="692" t="s">
        <v>618</v>
      </c>
      <c r="J80" s="693"/>
      <c r="K80" s="693"/>
      <c r="L80" s="694"/>
      <c r="Q80" s="372" t="s">
        <v>612</v>
      </c>
      <c r="R80" s="371"/>
      <c r="S80" s="373"/>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4">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6.375</v>
      </c>
      <c r="C82" s="137"/>
      <c r="D82" s="137"/>
      <c r="E82" s="138">
        <f>'DSCR (RT)'!C11</f>
        <v>95.850500000000039</v>
      </c>
      <c r="F82" s="138" t="e">
        <f>'DSCR (RT)'!D11</f>
        <v>#N/A</v>
      </c>
      <c r="G82" s="139" t="e">
        <f>SUM('DSCR (RT)'!T12:T35)+B67</f>
        <v>#N/A</v>
      </c>
      <c r="H82" s="140">
        <v>1</v>
      </c>
      <c r="I82" s="141">
        <f t="shared" ref="I82:I124" si="0">B82</f>
        <v>6.375</v>
      </c>
      <c r="J82" s="142"/>
      <c r="K82" s="142"/>
      <c r="L82" s="143" t="e">
        <f t="shared" ref="L82:M84" si="1">E82+$G$82</f>
        <v>#N/A</v>
      </c>
      <c r="M82" s="143" t="e">
        <f t="shared" si="1"/>
        <v>#N/A</v>
      </c>
      <c r="N82" s="365" cm="1">
        <f t="array" ref="N82:N124">I82:I124</f>
        <v>6.375</v>
      </c>
      <c r="Q82" s="584" t="s">
        <v>623</v>
      </c>
      <c r="R82" s="150" t="str" cm="1">
        <f t="array" ref="R82">IF(AND(
   ISNUMBER(MATCH('DSCR (RT)'!$S$12, $A$3:$A$12, 0)),
   ISNUMBER(MATCH('DSCR (RT)'!$S$11, $B$8:$B$11, 0)),
   ISNUMBER(MATCH('DSCR (RT)'!$S$21, $J$5, 0)),
   ISNUMBER(MATCH('DSCR (RT)'!$S$21, $J$7, 0)),
   ISNUMBER(MATCH('DSCR (RT)'!$S$20, $G$5:$G$6, 0)),
   ISNUMBER(MATCH('DSCR (RT)'!$S$13 = $C$6:$C$7, 0)),
   'DSCR (RT)'!$S$18 = $E$9
), NA(), "")</f>
        <v/>
      </c>
      <c r="S82" s="584" t="s">
        <v>624</v>
      </c>
      <c r="AH82" s="101"/>
      <c r="AJ82" s="101"/>
      <c r="AK82" s="101"/>
      <c r="AL82" s="101"/>
      <c r="AM82" s="101"/>
      <c r="AN82" s="101"/>
      <c r="AO82" s="101"/>
      <c r="AP82" s="101"/>
    </row>
    <row r="83" spans="2:48" x14ac:dyDescent="0.25">
      <c r="B83" s="144">
        <f>'DSCR (RT)'!B12</f>
        <v>6.4989999999999997</v>
      </c>
      <c r="C83" s="145"/>
      <c r="D83" s="145"/>
      <c r="E83" s="146">
        <f>'DSCR (RT)'!C12</f>
        <v>96.413000000000039</v>
      </c>
      <c r="F83" s="146" t="e">
        <f>'DSCR (RT)'!D12</f>
        <v>#N/A</v>
      </c>
      <c r="G83" s="89" t="s">
        <v>625</v>
      </c>
      <c r="H83" s="140">
        <v>2</v>
      </c>
      <c r="I83" s="147">
        <f t="shared" si="0"/>
        <v>6.4989999999999997</v>
      </c>
      <c r="J83" s="148"/>
      <c r="K83" s="148"/>
      <c r="L83" s="149" t="e">
        <f t="shared" si="1"/>
        <v>#N/A</v>
      </c>
      <c r="M83" s="149" t="e">
        <f t="shared" si="1"/>
        <v>#N/A</v>
      </c>
      <c r="N83" s="365">
        <v>6.4989999999999997</v>
      </c>
      <c r="AH83" s="101"/>
      <c r="AJ83" s="101"/>
      <c r="AK83" s="101"/>
      <c r="AL83" s="101"/>
      <c r="AM83" s="101"/>
      <c r="AN83" s="101"/>
      <c r="AO83" s="101"/>
      <c r="AP83" s="101"/>
    </row>
    <row r="84" spans="2:48" ht="15.75" thickBot="1" x14ac:dyDescent="0.3">
      <c r="B84" s="144">
        <f>'DSCR (RT)'!B13</f>
        <v>6.625</v>
      </c>
      <c r="C84" s="145"/>
      <c r="D84" s="145"/>
      <c r="E84" s="146">
        <f>'DSCR (RT)'!C13</f>
        <v>96.913000000000039</v>
      </c>
      <c r="F84" s="146" t="e">
        <f>'DSCR (RT)'!D13</f>
        <v>#N/A</v>
      </c>
      <c r="G84" s="89" t="s">
        <v>626</v>
      </c>
      <c r="H84" s="140">
        <v>3</v>
      </c>
      <c r="I84" s="147">
        <f t="shared" si="0"/>
        <v>6.625</v>
      </c>
      <c r="J84" s="148"/>
      <c r="K84" s="148"/>
      <c r="L84" s="149" t="e">
        <f t="shared" si="1"/>
        <v>#N/A</v>
      </c>
      <c r="M84" s="149" t="e">
        <f t="shared" si="1"/>
        <v>#N/A</v>
      </c>
      <c r="N84" s="365">
        <v>6.625</v>
      </c>
      <c r="AG84" s="589" t="s">
        <v>654</v>
      </c>
      <c r="AH84" s="591"/>
      <c r="AI84" s="590"/>
      <c r="AJ84" s="101"/>
      <c r="AK84" s="101"/>
      <c r="AL84" s="101"/>
      <c r="AM84" s="101"/>
      <c r="AN84" s="101"/>
      <c r="AO84" s="101"/>
      <c r="AP84" s="101"/>
    </row>
    <row r="85" spans="2:48" x14ac:dyDescent="0.25">
      <c r="B85" s="144">
        <f>'DSCR (RT)'!B14</f>
        <v>6.75</v>
      </c>
      <c r="C85" s="145"/>
      <c r="D85" s="145"/>
      <c r="E85" s="146">
        <f>'DSCR (RT)'!C14</f>
        <v>97.413000000000039</v>
      </c>
      <c r="F85" s="146" t="e">
        <f>'DSCR (RT)'!D14</f>
        <v>#N/A</v>
      </c>
      <c r="G85" s="139" t="e">
        <f>'DSCR (RT)'!T40</f>
        <v>#N/A</v>
      </c>
      <c r="H85" s="140">
        <v>4</v>
      </c>
      <c r="I85" s="147">
        <f t="shared" si="0"/>
        <v>6.75</v>
      </c>
      <c r="J85" s="148"/>
      <c r="K85" s="148"/>
      <c r="L85" s="149" t="e">
        <f>E85+$G$82</f>
        <v>#N/A</v>
      </c>
      <c r="M85" s="149" t="e">
        <f>F85+$G$82</f>
        <v>#N/A</v>
      </c>
      <c r="N85" s="365">
        <v>6.75</v>
      </c>
      <c r="P85" s="139"/>
      <c r="U85" s="89"/>
      <c r="V85" s="89"/>
      <c r="W85" s="89"/>
      <c r="Y85" s="362" t="s">
        <v>627</v>
      </c>
      <c r="Z85" s="368"/>
      <c r="AA85" s="368"/>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6.875</v>
      </c>
      <c r="C86" s="145"/>
      <c r="D86" s="145"/>
      <c r="E86" s="146">
        <f>'DSCR (RT)'!C15</f>
        <v>97.913000000000039</v>
      </c>
      <c r="F86" s="146" t="e">
        <f>'DSCR (RT)'!D15</f>
        <v>#N/A</v>
      </c>
      <c r="H86" s="140">
        <v>5</v>
      </c>
      <c r="I86" s="147">
        <f t="shared" si="0"/>
        <v>6.875</v>
      </c>
      <c r="J86" s="148"/>
      <c r="K86" s="148"/>
      <c r="L86" s="149" t="e">
        <f t="shared" ref="L86:L124" si="2">E86+$G$82</f>
        <v>#N/A</v>
      </c>
      <c r="M86" s="149" t="e">
        <f t="shared" ref="M86:M124" si="3">F86+$G$82</f>
        <v>#N/A</v>
      </c>
      <c r="N86" s="365">
        <v>6.875</v>
      </c>
      <c r="P86" s="139"/>
      <c r="U86" s="89"/>
      <c r="V86" s="89"/>
      <c r="W86" s="89"/>
      <c r="Y86" s="363" t="s">
        <v>272</v>
      </c>
      <c r="Z86" s="363"/>
      <c r="AA86" s="363"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6.9989999999999997</v>
      </c>
      <c r="C87" s="145"/>
      <c r="D87" s="145"/>
      <c r="E87" s="146">
        <f>'DSCR (RT)'!C16</f>
        <v>98.413000000000039</v>
      </c>
      <c r="F87" s="146" t="e">
        <f>'DSCR (RT)'!D16</f>
        <v>#N/A</v>
      </c>
      <c r="H87" s="140">
        <v>6</v>
      </c>
      <c r="I87" s="147">
        <f t="shared" si="0"/>
        <v>6.9989999999999997</v>
      </c>
      <c r="J87" s="148"/>
      <c r="K87" s="148"/>
      <c r="L87" s="149" t="e">
        <f t="shared" si="2"/>
        <v>#N/A</v>
      </c>
      <c r="M87" s="149" t="e">
        <f t="shared" si="3"/>
        <v>#N/A</v>
      </c>
      <c r="N87" s="365">
        <v>6.9989999999999997</v>
      </c>
      <c r="P87" s="139"/>
      <c r="Y87" s="363" t="s">
        <v>272</v>
      </c>
      <c r="Z87" s="363"/>
      <c r="AA87" s="363"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7.125</v>
      </c>
      <c r="C88" s="145"/>
      <c r="D88" s="145"/>
      <c r="E88" s="146">
        <f>'DSCR (RT)'!C17</f>
        <v>98.913000000000039</v>
      </c>
      <c r="F88" s="146" t="e">
        <f>'DSCR (RT)'!D17</f>
        <v>#N/A</v>
      </c>
      <c r="H88" s="140">
        <v>7</v>
      </c>
      <c r="I88" s="147">
        <f t="shared" si="0"/>
        <v>7.125</v>
      </c>
      <c r="J88" s="148"/>
      <c r="K88" s="148"/>
      <c r="L88" s="149" t="e">
        <f t="shared" si="2"/>
        <v>#N/A</v>
      </c>
      <c r="M88" s="149" t="e">
        <f t="shared" si="3"/>
        <v>#N/A</v>
      </c>
      <c r="N88" s="365">
        <v>7.125</v>
      </c>
      <c r="P88" s="139"/>
      <c r="U88" s="89"/>
      <c r="V88" s="89"/>
      <c r="W88" s="89"/>
      <c r="Y88" s="363" t="s">
        <v>272</v>
      </c>
      <c r="Z88" s="363"/>
      <c r="AA88" s="363"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7.25</v>
      </c>
      <c r="C89" s="145"/>
      <c r="D89" s="145"/>
      <c r="E89" s="146">
        <f>'DSCR (RT)'!C18</f>
        <v>99.413000000000039</v>
      </c>
      <c r="F89" s="146">
        <f>'DSCR (RT)'!D18</f>
        <v>94.6</v>
      </c>
      <c r="G89" s="89" t="str">
        <f>'DSCR (RT)'!S17</f>
        <v>Choose a Selection</v>
      </c>
      <c r="H89" s="140">
        <v>8</v>
      </c>
      <c r="I89" s="147">
        <f t="shared" si="0"/>
        <v>7.25</v>
      </c>
      <c r="J89" s="148"/>
      <c r="K89" s="148"/>
      <c r="L89" s="149" t="e">
        <f t="shared" si="2"/>
        <v>#N/A</v>
      </c>
      <c r="M89" s="149" t="e">
        <f t="shared" si="3"/>
        <v>#N/A</v>
      </c>
      <c r="N89" s="365">
        <v>7.25</v>
      </c>
      <c r="P89" s="139"/>
      <c r="U89" s="89"/>
      <c r="V89" s="89"/>
      <c r="W89" s="89"/>
      <c r="Y89" s="363" t="s">
        <v>272</v>
      </c>
      <c r="Z89" s="363"/>
      <c r="AA89" s="363"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7.375</v>
      </c>
      <c r="C90" s="145"/>
      <c r="D90" s="145"/>
      <c r="E90" s="146">
        <f>'DSCR (RT)'!C19</f>
        <v>99.788000000000039</v>
      </c>
      <c r="F90" s="146">
        <f>'DSCR (RT)'!D19</f>
        <v>94.974999999999994</v>
      </c>
      <c r="G90" s="89" t="str">
        <f>IF('DSCR (RT)'!S24="DSCR 5-8", "DSCR 5-8", "")</f>
        <v/>
      </c>
      <c r="H90" s="140">
        <v>9</v>
      </c>
      <c r="I90" s="147">
        <f t="shared" si="0"/>
        <v>7.375</v>
      </c>
      <c r="J90" s="148"/>
      <c r="K90" s="148"/>
      <c r="L90" s="149" t="e">
        <f t="shared" si="2"/>
        <v>#N/A</v>
      </c>
      <c r="M90" s="149" t="e">
        <f t="shared" si="3"/>
        <v>#N/A</v>
      </c>
      <c r="N90" s="365">
        <v>7.375</v>
      </c>
      <c r="P90" s="139"/>
      <c r="U90" s="89"/>
      <c r="V90" s="89"/>
      <c r="W90" s="89"/>
      <c r="Y90" s="363" t="s">
        <v>272</v>
      </c>
      <c r="Z90" s="363"/>
      <c r="AA90" s="363" t="s">
        <v>312</v>
      </c>
      <c r="AG90" s="101"/>
      <c r="AH90" s="101"/>
      <c r="AI90" s="101"/>
      <c r="AJ90" s="101"/>
      <c r="AK90" s="101"/>
      <c r="AL90" s="101"/>
      <c r="AM90" s="101"/>
      <c r="AN90" s="101"/>
      <c r="AO90" s="101"/>
      <c r="AP90" s="101"/>
    </row>
    <row r="91" spans="2:48" x14ac:dyDescent="0.25">
      <c r="B91" s="144">
        <f>'DSCR (RT)'!B20</f>
        <v>7.4989999999999997</v>
      </c>
      <c r="C91" s="145"/>
      <c r="D91" s="145"/>
      <c r="E91" s="146">
        <f>'DSCR (RT)'!C20</f>
        <v>100.16300000000004</v>
      </c>
      <c r="F91" s="146">
        <f>'DSCR (RT)'!D20</f>
        <v>95.6</v>
      </c>
      <c r="G91" s="89" t="str">
        <f>IF('DSCR (RT)'!S24="DSCR 5-8", "DSCR 5-8", "")</f>
        <v/>
      </c>
      <c r="H91" s="140">
        <v>10</v>
      </c>
      <c r="I91" s="147">
        <f t="shared" si="0"/>
        <v>7.4989999999999997</v>
      </c>
      <c r="J91" s="148"/>
      <c r="K91" s="148"/>
      <c r="L91" s="149" t="e">
        <f t="shared" si="2"/>
        <v>#N/A</v>
      </c>
      <c r="M91" s="149" t="e">
        <f t="shared" si="3"/>
        <v>#N/A</v>
      </c>
      <c r="N91" s="365">
        <v>7.4989999999999997</v>
      </c>
      <c r="P91" s="139"/>
      <c r="Y91" s="363" t="s">
        <v>272</v>
      </c>
      <c r="Z91" s="363"/>
      <c r="AA91" s="363" t="s">
        <v>317</v>
      </c>
      <c r="AG91" s="391"/>
      <c r="AH91" s="101"/>
      <c r="AI91" s="101"/>
      <c r="AJ91" s="101"/>
      <c r="AK91" s="101"/>
      <c r="AL91" s="101"/>
      <c r="AM91" s="101"/>
      <c r="AN91" s="101"/>
      <c r="AO91" s="101"/>
      <c r="AP91" s="101"/>
    </row>
    <row r="92" spans="2:48" x14ac:dyDescent="0.25">
      <c r="B92" s="144">
        <f>'DSCR (RT)'!B21</f>
        <v>7.625</v>
      </c>
      <c r="C92" s="145"/>
      <c r="D92" s="145"/>
      <c r="E92" s="146">
        <f>'DSCR (RT)'!C21</f>
        <v>100.53800000000004</v>
      </c>
      <c r="F92" s="146">
        <f>'DSCR (RT)'!D21</f>
        <v>96.1</v>
      </c>
      <c r="H92" s="140">
        <v>11</v>
      </c>
      <c r="I92" s="147">
        <f t="shared" si="0"/>
        <v>7.625</v>
      </c>
      <c r="J92" s="148"/>
      <c r="K92" s="148"/>
      <c r="L92" s="149" t="e">
        <f t="shared" si="2"/>
        <v>#N/A</v>
      </c>
      <c r="M92" s="149" t="e">
        <f t="shared" si="3"/>
        <v>#N/A</v>
      </c>
      <c r="N92" s="365">
        <v>7.625</v>
      </c>
      <c r="P92" s="139"/>
      <c r="Y92" s="363" t="s">
        <v>272</v>
      </c>
      <c r="Z92" s="363"/>
      <c r="AA92" s="363" t="s">
        <v>325</v>
      </c>
      <c r="AM92" s="101"/>
      <c r="AN92" s="101"/>
      <c r="AO92" s="101"/>
      <c r="AP92" s="101"/>
      <c r="AQ92" s="101"/>
      <c r="AR92" s="101"/>
      <c r="AS92" s="101"/>
      <c r="AT92" s="101"/>
      <c r="AU92" s="101"/>
      <c r="AV92" s="101"/>
    </row>
    <row r="93" spans="2:48" x14ac:dyDescent="0.25">
      <c r="B93" s="144">
        <f>'DSCR (RT)'!B22</f>
        <v>7.75</v>
      </c>
      <c r="C93" s="145"/>
      <c r="D93" s="145"/>
      <c r="E93" s="146">
        <f>'DSCR (RT)'!C22</f>
        <v>100.91300000000004</v>
      </c>
      <c r="F93" s="146">
        <f>'DSCR (RT)'!D22</f>
        <v>96.35</v>
      </c>
      <c r="H93" s="140">
        <v>12</v>
      </c>
      <c r="I93" s="147">
        <f t="shared" si="0"/>
        <v>7.75</v>
      </c>
      <c r="J93" s="148"/>
      <c r="K93" s="148"/>
      <c r="L93" s="149" t="e">
        <f t="shared" si="2"/>
        <v>#N/A</v>
      </c>
      <c r="M93" s="149" t="e">
        <f t="shared" si="3"/>
        <v>#N/A</v>
      </c>
      <c r="N93" s="365">
        <v>7.75</v>
      </c>
      <c r="Y93" s="363" t="s">
        <v>272</v>
      </c>
      <c r="Z93" s="363"/>
      <c r="AA93" s="363" t="s">
        <v>296</v>
      </c>
      <c r="AM93" s="101"/>
      <c r="AN93" s="101"/>
      <c r="AO93" s="101"/>
      <c r="AP93" s="101"/>
      <c r="AQ93" s="101"/>
      <c r="AR93" s="101"/>
      <c r="AS93" s="101"/>
      <c r="AT93" s="101"/>
      <c r="AU93" s="101"/>
      <c r="AV93" s="101"/>
    </row>
    <row r="94" spans="2:48" ht="15.75" thickBot="1" x14ac:dyDescent="0.3">
      <c r="B94" s="144">
        <f>'DSCR (RT)'!B23</f>
        <v>7.875</v>
      </c>
      <c r="C94" s="145"/>
      <c r="D94" s="145"/>
      <c r="E94" s="146">
        <f>'DSCR (RT)'!C23</f>
        <v>101.22550000000004</v>
      </c>
      <c r="F94" s="146">
        <f>'DSCR (RT)'!D23</f>
        <v>96.6</v>
      </c>
      <c r="G94" s="139" t="e">
        <f>SUM('DSCR (RT)'!T12:T35)+B67</f>
        <v>#N/A</v>
      </c>
      <c r="H94" s="140">
        <v>13</v>
      </c>
      <c r="I94" s="147">
        <f t="shared" si="0"/>
        <v>7.875</v>
      </c>
      <c r="J94" s="148"/>
      <c r="K94" s="148"/>
      <c r="L94" s="149" t="e">
        <f t="shared" si="2"/>
        <v>#N/A</v>
      </c>
      <c r="M94" s="149" t="e">
        <f t="shared" si="3"/>
        <v>#N/A</v>
      </c>
      <c r="N94" s="365">
        <v>7.875</v>
      </c>
      <c r="Y94" s="363" t="s">
        <v>272</v>
      </c>
      <c r="Z94" s="363"/>
      <c r="AA94" s="363" t="s">
        <v>339</v>
      </c>
      <c r="AG94" s="589" t="s">
        <v>780</v>
      </c>
      <c r="AH94" s="590"/>
      <c r="AI94" s="590"/>
      <c r="AM94" s="101"/>
      <c r="AN94" s="101"/>
      <c r="AO94" s="101"/>
      <c r="AP94" s="101"/>
      <c r="AQ94" s="101"/>
      <c r="AR94" s="101"/>
      <c r="AS94" s="101"/>
    </row>
    <row r="95" spans="2:48" x14ac:dyDescent="0.25">
      <c r="B95" s="144">
        <f>'DSCR (RT)'!B24</f>
        <v>7.9989999999999997</v>
      </c>
      <c r="C95" s="145"/>
      <c r="D95" s="145"/>
      <c r="E95" s="146">
        <f>'DSCR (RT)'!C24</f>
        <v>101.53800000000004</v>
      </c>
      <c r="F95" s="146">
        <f>'DSCR (RT)'!D24</f>
        <v>97.1</v>
      </c>
      <c r="H95" s="140">
        <v>14</v>
      </c>
      <c r="I95" s="147">
        <f t="shared" si="0"/>
        <v>7.9989999999999997</v>
      </c>
      <c r="J95" s="148"/>
      <c r="K95" s="148"/>
      <c r="L95" s="149" t="e">
        <f t="shared" si="2"/>
        <v>#N/A</v>
      </c>
      <c r="M95" s="149" t="e">
        <f t="shared" si="3"/>
        <v>#N/A</v>
      </c>
      <c r="N95" s="365">
        <v>7.9989999999999997</v>
      </c>
      <c r="Y95" s="363" t="s">
        <v>272</v>
      </c>
      <c r="Z95" s="368"/>
      <c r="AA95" s="363" t="s">
        <v>346</v>
      </c>
      <c r="AG95" t="s">
        <v>787</v>
      </c>
      <c r="AH95" s="150" t="str" cm="1">
        <f t="array" ref="AH95">IF(AND(OR('DSCR (RT)'!$S$12=$A$3:$A$6),'DSCR (RT)'!$S$24='Feed(DSCR)'!$K$10,OR('DSCR (RT)'!$S$20=$G$8:$G$12),OR('DSCR (RT)'!$S$11=$B$7:$B$11),OR('DSCR (RT)'!$S$21='Feed(DSCR)'!$J$3)),NA(),"")</f>
        <v/>
      </c>
      <c r="AI95" s="89" t="s">
        <v>800</v>
      </c>
      <c r="AM95" s="101"/>
      <c r="AN95" s="101"/>
      <c r="AO95" s="101"/>
      <c r="AP95" s="101"/>
      <c r="AQ95" s="101"/>
      <c r="AR95" s="101"/>
      <c r="AS95" s="101"/>
    </row>
    <row r="96" spans="2:48" x14ac:dyDescent="0.25">
      <c r="B96" s="144">
        <f>'DSCR (RT)'!B25</f>
        <v>8.125</v>
      </c>
      <c r="C96" s="145"/>
      <c r="D96" s="145"/>
      <c r="E96" s="146">
        <f>'DSCR (RT)'!C25</f>
        <v>101.85050000000004</v>
      </c>
      <c r="F96" s="146">
        <f>'DSCR (RT)'!D25</f>
        <v>97.35</v>
      </c>
      <c r="H96" s="140">
        <v>15</v>
      </c>
      <c r="I96" s="147">
        <f t="shared" si="0"/>
        <v>8.125</v>
      </c>
      <c r="J96" s="148"/>
      <c r="K96" s="148"/>
      <c r="L96" s="149" t="e">
        <f t="shared" si="2"/>
        <v>#N/A</v>
      </c>
      <c r="M96" s="149" t="e">
        <f t="shared" si="3"/>
        <v>#N/A</v>
      </c>
      <c r="N96" s="365">
        <v>8.125</v>
      </c>
      <c r="Y96" s="363" t="s">
        <v>272</v>
      </c>
      <c r="Z96" s="363"/>
      <c r="AA96" s="363" t="s">
        <v>352</v>
      </c>
      <c r="AG96" t="s">
        <v>788</v>
      </c>
      <c r="AH96" s="150" t="str" cm="1">
        <f t="array" ref="AH96">IF(AND(OR('DSCR (RT)'!$S$12=$A$7),'DSCR (RT)'!$S$24='Feed(DSCR)'!$K$10,OR('DSCR (RT)'!$S$20=$G$8:$G$12),OR('DSCR (RT)'!$S$11='Feed(DSCR)'!$B$7:$B$11),OR('DSCR (RT)'!$S$21=$J$3)),NA(),"")</f>
        <v/>
      </c>
      <c r="AI96" s="89" t="s">
        <v>801</v>
      </c>
      <c r="AK96"/>
      <c r="AL96"/>
      <c r="AM96"/>
      <c r="AN96"/>
      <c r="AO96"/>
      <c r="AP96"/>
      <c r="AQ96"/>
      <c r="AR96"/>
      <c r="AS96"/>
      <c r="AT96"/>
      <c r="AU96"/>
      <c r="AV96"/>
    </row>
    <row r="97" spans="2:48" x14ac:dyDescent="0.25">
      <c r="B97" s="144">
        <f>'DSCR (RT)'!B26</f>
        <v>8.25</v>
      </c>
      <c r="C97" s="145"/>
      <c r="D97" s="145"/>
      <c r="E97" s="146">
        <f>'DSCR (RT)'!C26</f>
        <v>102.16300000000004</v>
      </c>
      <c r="F97" s="146">
        <f>'DSCR (RT)'!D26</f>
        <v>97.6</v>
      </c>
      <c r="G97" s="139"/>
      <c r="H97" s="140">
        <v>16</v>
      </c>
      <c r="I97" s="147">
        <f t="shared" si="0"/>
        <v>8.25</v>
      </c>
      <c r="J97" s="148"/>
      <c r="K97" s="148"/>
      <c r="L97" s="149" t="e">
        <f t="shared" si="2"/>
        <v>#N/A</v>
      </c>
      <c r="M97" s="149" t="e">
        <f t="shared" si="3"/>
        <v>#N/A</v>
      </c>
      <c r="N97" s="365">
        <v>8.25</v>
      </c>
      <c r="Y97" s="363" t="s">
        <v>272</v>
      </c>
      <c r="Z97" s="368"/>
      <c r="AA97" s="363" t="s">
        <v>360</v>
      </c>
      <c r="AG97" s="89" t="s">
        <v>789</v>
      </c>
      <c r="AH97" s="150" t="str" cm="1">
        <f t="array" ref="AH97">IF(AND(OR('DSCR (RT)'!$S$12=$A$8),'DSCR (RT)'!$S$24='Feed(DSCR)'!$K$10,OR('DSCR (RT)'!$S$20=$G$8:$G$12),OR('DSCR (RT)'!$S$11=$B$3:$B$11),OR('DSCR (RT)'!$S$21=$J$3)),NA(),"")</f>
        <v/>
      </c>
      <c r="AI97" s="89" t="s">
        <v>802</v>
      </c>
      <c r="AK97"/>
      <c r="AL97"/>
      <c r="AM97"/>
      <c r="AN97"/>
      <c r="AO97"/>
      <c r="AP97"/>
      <c r="AQ97"/>
      <c r="AR97"/>
      <c r="AS97"/>
      <c r="AT97"/>
      <c r="AU97"/>
      <c r="AV97"/>
    </row>
    <row r="98" spans="2:48" x14ac:dyDescent="0.25">
      <c r="B98" s="144">
        <f>'DSCR (RT)'!B27</f>
        <v>8.375</v>
      </c>
      <c r="C98" s="145"/>
      <c r="D98" s="145"/>
      <c r="E98" s="146">
        <f>'DSCR (RT)'!C27</f>
        <v>102.47550000000004</v>
      </c>
      <c r="F98" s="146">
        <f>'DSCR (RT)'!D27</f>
        <v>97.85</v>
      </c>
      <c r="G98" s="139"/>
      <c r="H98" s="140">
        <v>17</v>
      </c>
      <c r="I98" s="147">
        <f t="shared" si="0"/>
        <v>8.375</v>
      </c>
      <c r="J98" s="148"/>
      <c r="K98" s="148"/>
      <c r="L98" s="149" t="e">
        <f t="shared" si="2"/>
        <v>#N/A</v>
      </c>
      <c r="M98" s="149" t="e">
        <f t="shared" si="3"/>
        <v>#N/A</v>
      </c>
      <c r="N98" s="365">
        <v>8.375</v>
      </c>
      <c r="Y98" s="363" t="s">
        <v>272</v>
      </c>
      <c r="Z98" s="368"/>
      <c r="AA98" s="363" t="s">
        <v>632</v>
      </c>
      <c r="AG98" s="597" t="s">
        <v>781</v>
      </c>
      <c r="AH98" s="150" t="str" cm="1">
        <f t="array" ref="AH98">IF(AND(OR('DSCR (RT)'!$S$12=$A$3:$A$6),'DSCR (RT)'!$S$24='Feed(DSCR)'!$K$10,OR('DSCR (RT)'!$S$20=$G$8:$G$12),OR('DSCR (RT)'!$S$11=$B$6:$B$11),OR('DSCR (RT)'!$S$21='Feed(DSCR)'!$J$3)),NA(),"")</f>
        <v/>
      </c>
      <c r="AI98" s="127" t="s">
        <v>803</v>
      </c>
      <c r="AK98"/>
      <c r="AL98"/>
      <c r="AM98"/>
      <c r="AN98"/>
      <c r="AO98"/>
      <c r="AP98"/>
      <c r="AQ98"/>
      <c r="AR98"/>
      <c r="AS98"/>
      <c r="AT98"/>
      <c r="AU98"/>
      <c r="AV98"/>
    </row>
    <row r="99" spans="2:48" x14ac:dyDescent="0.25">
      <c r="B99" s="144">
        <f>'DSCR (RT)'!B28</f>
        <v>8.4990000000000006</v>
      </c>
      <c r="C99" s="145"/>
      <c r="D99" s="145"/>
      <c r="E99" s="146">
        <f>'DSCR (RT)'!C28</f>
        <v>102.72550000000004</v>
      </c>
      <c r="F99" s="146">
        <f>'DSCR (RT)'!D28</f>
        <v>98.224999999999994</v>
      </c>
      <c r="H99" s="140">
        <v>18</v>
      </c>
      <c r="I99" s="152">
        <f t="shared" si="0"/>
        <v>8.4990000000000006</v>
      </c>
      <c r="J99" s="153"/>
      <c r="K99" s="153"/>
      <c r="L99" s="154" t="e">
        <f t="shared" si="2"/>
        <v>#N/A</v>
      </c>
      <c r="M99" s="154" t="e">
        <f t="shared" si="3"/>
        <v>#N/A</v>
      </c>
      <c r="N99" s="365">
        <v>8.4990000000000006</v>
      </c>
      <c r="Y99" s="363" t="s">
        <v>272</v>
      </c>
      <c r="Z99" s="368"/>
      <c r="AA99" s="363" t="s">
        <v>383</v>
      </c>
      <c r="AG99" s="597" t="s">
        <v>782</v>
      </c>
      <c r="AH99" s="150" t="str" cm="1">
        <f t="array" ref="AH99">IF(AND(OR('DSCR (RT)'!$S$12=$A$7),'DSCR (RT)'!$S$24='Feed(DSCR)'!$K$10,OR('DSCR (RT)'!$S$20=$G$8:$G$12),OR('DSCR (RT)'!$S$11=$B$6:$B$11),OR('DSCR (RT)'!$S$21=$J$4)),NA(),"")</f>
        <v/>
      </c>
      <c r="AI99" s="127" t="s">
        <v>804</v>
      </c>
      <c r="AK99"/>
      <c r="AL99"/>
      <c r="AM99"/>
      <c r="AN99"/>
      <c r="AO99"/>
      <c r="AP99"/>
      <c r="AQ99"/>
      <c r="AR99"/>
      <c r="AS99"/>
      <c r="AT99"/>
      <c r="AU99"/>
      <c r="AV99"/>
    </row>
    <row r="100" spans="2:48" x14ac:dyDescent="0.25">
      <c r="B100" s="144">
        <f>'DSCR (RT)'!B29</f>
        <v>8.625</v>
      </c>
      <c r="C100" s="145"/>
      <c r="D100" s="145"/>
      <c r="E100" s="146">
        <f>'DSCR (RT)'!C29</f>
        <v>102.97550000000004</v>
      </c>
      <c r="F100" s="146">
        <f>'DSCR (RT)'!D29</f>
        <v>98.6</v>
      </c>
      <c r="H100" s="140">
        <v>19</v>
      </c>
      <c r="I100" s="152">
        <f t="shared" si="0"/>
        <v>8.625</v>
      </c>
      <c r="J100" s="153"/>
      <c r="K100" s="153"/>
      <c r="L100" s="154" t="e">
        <f t="shared" si="2"/>
        <v>#N/A</v>
      </c>
      <c r="M100" s="154" t="e">
        <f t="shared" si="3"/>
        <v>#N/A</v>
      </c>
      <c r="N100" s="365">
        <v>8.625</v>
      </c>
      <c r="Y100" s="363" t="s">
        <v>272</v>
      </c>
      <c r="Z100" s="368"/>
      <c r="AA100" s="363" t="s">
        <v>393</v>
      </c>
      <c r="AG100" s="127" t="s">
        <v>783</v>
      </c>
      <c r="AH100" s="150" t="str" cm="1">
        <f t="array" ref="AH100">IF(AND(OR('DSCR (RT)'!$S$12=$A$8),'DSCR (RT)'!$S$24='Feed(DSCR)'!$K$10,OR('DSCR (RT)'!$S$20=$G$8:$G$12),OR('DSCR (RT)'!$S$11=$B$3:$B$11),OR('DSCR (RT)'!$S$21=$J$4)),NA(),"")</f>
        <v/>
      </c>
      <c r="AI100" s="127" t="s">
        <v>805</v>
      </c>
      <c r="AK100"/>
      <c r="AL100"/>
      <c r="AM100"/>
      <c r="AN100"/>
      <c r="AO100"/>
      <c r="AP100"/>
      <c r="AQ100"/>
      <c r="AR100"/>
      <c r="AS100"/>
      <c r="AT100"/>
      <c r="AU100"/>
      <c r="AV100"/>
    </row>
    <row r="101" spans="2:48" x14ac:dyDescent="0.25">
      <c r="B101" s="144">
        <f>'DSCR (RT)'!B30</f>
        <v>8.75</v>
      </c>
      <c r="C101" s="145"/>
      <c r="D101" s="145"/>
      <c r="E101" s="146">
        <f>'DSCR (RT)'!C30</f>
        <v>103.22550000000004</v>
      </c>
      <c r="F101" s="146">
        <f>'DSCR (RT)'!D30</f>
        <v>98.85</v>
      </c>
      <c r="H101" s="140">
        <v>20</v>
      </c>
      <c r="I101" s="147">
        <f t="shared" si="0"/>
        <v>8.75</v>
      </c>
      <c r="J101" s="148"/>
      <c r="K101" s="148"/>
      <c r="L101" s="149" t="e">
        <f t="shared" si="2"/>
        <v>#N/A</v>
      </c>
      <c r="M101" s="149" t="e">
        <f t="shared" si="3"/>
        <v>#N/A</v>
      </c>
      <c r="N101" s="365">
        <v>8.75</v>
      </c>
      <c r="Y101" s="363" t="s">
        <v>272</v>
      </c>
      <c r="Z101" s="368"/>
      <c r="AA101" s="363" t="s">
        <v>404</v>
      </c>
      <c r="AG101" t="s">
        <v>790</v>
      </c>
      <c r="AH101" s="150" t="str" cm="1">
        <f t="array" ref="AH101">IF(AND(OR('DSCR (RT)'!$S$12=$A$3:$A$6),'DSCR (RT)'!$S$24='Feed(DSCR)'!$K$10,OR('DSCR (RT)'!$S$20=$G$8:$G$12),OR('DSCR (RT)'!$S$11=$B$6:$B$11),OR('DSCR (RT)'!$S$21=$J$5)),NA(),"")</f>
        <v/>
      </c>
      <c r="AI101" s="89" t="s">
        <v>806</v>
      </c>
      <c r="AK101"/>
      <c r="AL101"/>
      <c r="AM101"/>
      <c r="AN101"/>
      <c r="AO101"/>
      <c r="AP101"/>
      <c r="AQ101"/>
      <c r="AR101"/>
      <c r="AS101"/>
      <c r="AT101"/>
      <c r="AU101"/>
      <c r="AV101"/>
    </row>
    <row r="102" spans="2:48" x14ac:dyDescent="0.25">
      <c r="B102" s="144">
        <f>'DSCR (RT)'!B31</f>
        <v>8.875</v>
      </c>
      <c r="C102" s="145"/>
      <c r="D102" s="145"/>
      <c r="E102" s="146">
        <f>'DSCR (RT)'!C31</f>
        <v>103.47550000000004</v>
      </c>
      <c r="F102" s="146">
        <f>'DSCR (RT)'!D31</f>
        <v>99.224999999999994</v>
      </c>
      <c r="H102" s="140">
        <v>21</v>
      </c>
      <c r="I102" s="147">
        <f t="shared" si="0"/>
        <v>8.875</v>
      </c>
      <c r="J102" s="148"/>
      <c r="K102" s="148"/>
      <c r="L102" s="149" t="e">
        <f t="shared" si="2"/>
        <v>#N/A</v>
      </c>
      <c r="M102" s="149" t="e">
        <f t="shared" si="3"/>
        <v>#N/A</v>
      </c>
      <c r="N102" s="365">
        <v>8.875</v>
      </c>
      <c r="Y102" s="363" t="s">
        <v>272</v>
      </c>
      <c r="Z102" s="368"/>
      <c r="AA102" s="363" t="s">
        <v>414</v>
      </c>
      <c r="AG102" t="s">
        <v>791</v>
      </c>
      <c r="AH102" s="150" t="str" cm="1">
        <f t="array" ref="AH102">IF(AND(OR('DSCR (RT)'!$S$12=$A$7),'DSCR (RT)'!$S$24='Feed(DSCR)'!$K$10,OR('DSCR (RT)'!$S$20=$G$8:$G$12),OR('DSCR (RT)'!$S$11=$B$6:$B$11),OR('DSCR (RT)'!$S$21=$J$5)),NA(),"")</f>
        <v/>
      </c>
      <c r="AI102" s="89" t="s">
        <v>807</v>
      </c>
      <c r="AK102"/>
      <c r="AL102"/>
      <c r="AM102"/>
      <c r="AN102"/>
      <c r="AO102"/>
      <c r="AP102"/>
      <c r="AQ102"/>
      <c r="AR102"/>
      <c r="AS102"/>
      <c r="AT102"/>
      <c r="AU102"/>
      <c r="AV102"/>
    </row>
    <row r="103" spans="2:48" x14ac:dyDescent="0.25">
      <c r="B103" s="144">
        <f>'DSCR (RT)'!B32</f>
        <v>8.9990000000000006</v>
      </c>
      <c r="C103" s="145"/>
      <c r="D103" s="145"/>
      <c r="E103" s="146">
        <f>'DSCR (RT)'!C32</f>
        <v>103.72550000000004</v>
      </c>
      <c r="F103" s="146">
        <f>'DSCR (RT)'!D32</f>
        <v>99.35</v>
      </c>
      <c r="H103" s="140">
        <v>22</v>
      </c>
      <c r="I103" s="147">
        <f t="shared" si="0"/>
        <v>8.9990000000000006</v>
      </c>
      <c r="J103" s="148"/>
      <c r="K103" s="148"/>
      <c r="L103" s="149" t="e">
        <f t="shared" si="2"/>
        <v>#N/A</v>
      </c>
      <c r="M103" s="149" t="e">
        <f t="shared" si="3"/>
        <v>#N/A</v>
      </c>
      <c r="N103" s="365">
        <v>8.9990000000000006</v>
      </c>
      <c r="Y103" s="363" t="s">
        <v>272</v>
      </c>
      <c r="Z103" s="368"/>
      <c r="AA103" s="363" t="s">
        <v>425</v>
      </c>
      <c r="AG103" s="89" t="s">
        <v>792</v>
      </c>
      <c r="AH103" s="150" t="str" cm="1">
        <f t="array" ref="AH103">IF(AND(OR('DSCR (RT)'!$S$12=$A$8),'DSCR (RT)'!$S$24='Feed(DSCR)'!$K$10,OR('DSCR (RT)'!$S$20=$G$8:$G$12),OR('DSCR (RT)'!$S$11=$B$3:$B$11),OR('DSCR (RT)'!$S$21=$J$5)),NA(),"")</f>
        <v/>
      </c>
      <c r="AI103" s="89" t="s">
        <v>808</v>
      </c>
      <c r="AK103"/>
      <c r="AL103"/>
      <c r="AM103"/>
      <c r="AN103"/>
      <c r="AO103"/>
      <c r="AP103"/>
      <c r="AQ103"/>
      <c r="AR103"/>
      <c r="AS103"/>
      <c r="AT103"/>
      <c r="AU103"/>
      <c r="AV103"/>
    </row>
    <row r="104" spans="2:48" x14ac:dyDescent="0.25">
      <c r="B104" s="144">
        <f>'DSCR (RT)'!B33</f>
        <v>9.125</v>
      </c>
      <c r="C104" s="145"/>
      <c r="D104" s="145"/>
      <c r="E104" s="146">
        <f>'DSCR (RT)'!C33</f>
        <v>103.97550000000004</v>
      </c>
      <c r="F104" s="146">
        <f>'DSCR (RT)'!D33</f>
        <v>99.724999999999994</v>
      </c>
      <c r="H104" s="140">
        <v>23</v>
      </c>
      <c r="I104" s="147">
        <f t="shared" si="0"/>
        <v>9.125</v>
      </c>
      <c r="J104" s="148"/>
      <c r="K104" s="148"/>
      <c r="L104" s="149" t="e">
        <f t="shared" si="2"/>
        <v>#N/A</v>
      </c>
      <c r="M104" s="149" t="e">
        <f t="shared" si="3"/>
        <v>#N/A</v>
      </c>
      <c r="N104" s="365">
        <v>9.125</v>
      </c>
      <c r="Y104" s="363" t="s">
        <v>272</v>
      </c>
      <c r="Z104" s="368"/>
      <c r="AA104" s="363" t="s">
        <v>433</v>
      </c>
      <c r="AG104" t="s">
        <v>793</v>
      </c>
      <c r="AH104" s="150" t="str" cm="1">
        <f t="array" ref="AH104">IF(AND(OR('DSCR (RT)'!$S$12=$A$3:$A$6),'DSCR (RT)'!$S$24='Feed(DSCR)'!$K$10,OR('DSCR (RT)'!$S$20=$G$9:$G$12),OR('DSCR (RT)'!$S$11=$B$6:$B$11),OR('DSCR (RT)'!$S$21=$J$3)),NA(),"")</f>
        <v/>
      </c>
      <c r="AI104" s="89" t="s">
        <v>809</v>
      </c>
      <c r="AK104"/>
      <c r="AL104"/>
      <c r="AM104"/>
      <c r="AN104"/>
      <c r="AO104"/>
      <c r="AP104"/>
      <c r="AQ104"/>
      <c r="AR104"/>
      <c r="AS104"/>
      <c r="AT104"/>
      <c r="AU104"/>
      <c r="AV104"/>
    </row>
    <row r="105" spans="2:48" x14ac:dyDescent="0.25">
      <c r="B105" s="144">
        <f>'DSCR (RT)'!B34</f>
        <v>9.25</v>
      </c>
      <c r="C105" s="145"/>
      <c r="D105" s="145"/>
      <c r="E105" s="146">
        <f>'DSCR (RT)'!C34</f>
        <v>104.22550000000004</v>
      </c>
      <c r="F105" s="146">
        <f>'DSCR (RT)'!D34</f>
        <v>99.974999999999994</v>
      </c>
      <c r="H105" s="140">
        <v>24</v>
      </c>
      <c r="I105" s="147">
        <f t="shared" si="0"/>
        <v>9.25</v>
      </c>
      <c r="J105" s="148"/>
      <c r="K105" s="148"/>
      <c r="L105" s="149" t="e">
        <f t="shared" si="2"/>
        <v>#N/A</v>
      </c>
      <c r="M105" s="149" t="e">
        <f t="shared" si="3"/>
        <v>#N/A</v>
      </c>
      <c r="N105" s="365">
        <v>9.25</v>
      </c>
      <c r="Y105" s="363" t="s">
        <v>272</v>
      </c>
      <c r="Z105" s="368"/>
      <c r="AA105" s="363" t="s">
        <v>441</v>
      </c>
      <c r="AG105" t="s">
        <v>794</v>
      </c>
      <c r="AH105" s="150" t="str" cm="1">
        <f t="array" ref="AH105">IF(AND(OR('DSCR (RT)'!$S$12=$A$7),'DSCR (RT)'!$S$24='Feed(DSCR)'!$K$10,OR('DSCR (RT)'!$S$20=$G$9:$G$12),OR('DSCR (RT)'!$S$11=$B$6:$B$11),OR('DSCR (RT)'!$S$21=$J$3)),NA(),"")</f>
        <v/>
      </c>
      <c r="AI105" s="89" t="s">
        <v>810</v>
      </c>
      <c r="AK105"/>
      <c r="AL105"/>
      <c r="AM105"/>
      <c r="AN105"/>
      <c r="AO105"/>
      <c r="AP105"/>
      <c r="AQ105"/>
      <c r="AR105"/>
      <c r="AS105"/>
      <c r="AT105"/>
      <c r="AU105"/>
      <c r="AV105"/>
    </row>
    <row r="106" spans="2:48" x14ac:dyDescent="0.25">
      <c r="B106" s="144">
        <f>'DSCR (RT)'!B35</f>
        <v>9.375</v>
      </c>
      <c r="C106" s="145"/>
      <c r="D106" s="145"/>
      <c r="E106" s="146">
        <f>'DSCR (RT)'!C35</f>
        <v>104.47550000000004</v>
      </c>
      <c r="F106" s="146">
        <f>'DSCR (RT)'!D35</f>
        <v>100.35</v>
      </c>
      <c r="H106" s="140">
        <v>25</v>
      </c>
      <c r="I106" s="147">
        <f t="shared" si="0"/>
        <v>9.375</v>
      </c>
      <c r="J106" s="148"/>
      <c r="K106" s="148"/>
      <c r="L106" s="149" t="e">
        <f t="shared" si="2"/>
        <v>#N/A</v>
      </c>
      <c r="M106" s="149" t="e">
        <f t="shared" si="3"/>
        <v>#N/A</v>
      </c>
      <c r="N106" s="365">
        <v>9.375</v>
      </c>
      <c r="Y106" s="363" t="s">
        <v>272</v>
      </c>
      <c r="Z106" s="368"/>
      <c r="AA106" s="363" t="s">
        <v>449</v>
      </c>
      <c r="AB106"/>
      <c r="AC106"/>
      <c r="AD106"/>
      <c r="AE106"/>
      <c r="AF106"/>
      <c r="AG106" s="89" t="s">
        <v>795</v>
      </c>
      <c r="AH106" s="150" t="str" cm="1">
        <f t="array" ref="AH106">IF(AND(OR('DSCR (RT)'!$S$12=$A$8),'DSCR (RT)'!$S$24='Feed(DSCR)'!$K$10,OR('DSCR (RT)'!$S$20=$G$7:$G$12),OR('DSCR (RT)'!$S$11=$B$3:$B$11),OR('DSCR (RT)'!$S$21=$J$3)),NA(),"")</f>
        <v/>
      </c>
      <c r="AI106" s="89" t="s">
        <v>811</v>
      </c>
      <c r="AJ106"/>
      <c r="AK106"/>
      <c r="AL106"/>
      <c r="AM106"/>
      <c r="AN106"/>
    </row>
    <row r="107" spans="2:48" x14ac:dyDescent="0.25">
      <c r="B107" s="144">
        <f>'DSCR (RT)'!B36</f>
        <v>9.4990000000000006</v>
      </c>
      <c r="C107" s="145"/>
      <c r="D107" s="145"/>
      <c r="E107" s="146">
        <f>'DSCR (RT)'!C36</f>
        <v>104.60050000000004</v>
      </c>
      <c r="F107" s="146">
        <f>'DSCR (RT)'!D36</f>
        <v>100.72499999999999</v>
      </c>
      <c r="H107" s="140">
        <v>26</v>
      </c>
      <c r="I107" s="147">
        <f t="shared" si="0"/>
        <v>9.4990000000000006</v>
      </c>
      <c r="J107" s="148"/>
      <c r="K107" s="148"/>
      <c r="L107" s="149" t="e">
        <f t="shared" si="2"/>
        <v>#N/A</v>
      </c>
      <c r="M107" s="149" t="e">
        <f t="shared" si="3"/>
        <v>#N/A</v>
      </c>
      <c r="N107" s="365">
        <v>9.4990000000000006</v>
      </c>
      <c r="Y107" s="363" t="s">
        <v>272</v>
      </c>
      <c r="Z107" s="363"/>
      <c r="AA107" s="363" t="s">
        <v>459</v>
      </c>
      <c r="AB107"/>
      <c r="AC107"/>
      <c r="AD107"/>
      <c r="AE107"/>
      <c r="AF107"/>
      <c r="AG107" s="597" t="s">
        <v>784</v>
      </c>
      <c r="AH107" s="150" t="str" cm="1">
        <f t="array" ref="AH107">IF(AND(OR('DSCR (RT)'!$S$12='Feed(DSCR)'!$A$3:$A$6),'DSCR (RT)'!$S$24='Feed(DSCR)'!$K$10,OR('DSCR (RT)'!$S$20=$G$9:$G$12),OR('DSCR (RT)'!$S$11=$B$5:$B$11),OR('DSCR (RT)'!$S$21=$J$4)),NA(),"")</f>
        <v/>
      </c>
      <c r="AI107" s="127" t="s">
        <v>812</v>
      </c>
      <c r="AJ107"/>
      <c r="AK107"/>
      <c r="AL107"/>
      <c r="AM107"/>
      <c r="AN107"/>
    </row>
    <row r="108" spans="2:48" x14ac:dyDescent="0.25">
      <c r="B108" s="144">
        <f>'DSCR (RT)'!B37</f>
        <v>9.625</v>
      </c>
      <c r="C108" s="145"/>
      <c r="D108" s="145"/>
      <c r="E108" s="146">
        <f>'DSCR (RT)'!C37</f>
        <v>104.72550000000004</v>
      </c>
      <c r="F108" s="146">
        <f>'DSCR (RT)'!D37</f>
        <v>100.97499999999999</v>
      </c>
      <c r="H108" s="140">
        <v>27</v>
      </c>
      <c r="I108" s="147">
        <f t="shared" si="0"/>
        <v>9.625</v>
      </c>
      <c r="J108" s="148"/>
      <c r="K108" s="148"/>
      <c r="L108" s="149" t="e">
        <f t="shared" si="2"/>
        <v>#N/A</v>
      </c>
      <c r="M108" s="149" t="e">
        <f t="shared" si="3"/>
        <v>#N/A</v>
      </c>
      <c r="N108" s="365">
        <v>9.625</v>
      </c>
      <c r="Y108" s="363" t="s">
        <v>272</v>
      </c>
      <c r="Z108" s="363"/>
      <c r="AA108" s="363" t="s">
        <v>468</v>
      </c>
      <c r="AB108"/>
      <c r="AC108"/>
      <c r="AD108"/>
      <c r="AE108"/>
      <c r="AF108"/>
      <c r="AG108" s="597" t="s">
        <v>785</v>
      </c>
      <c r="AH108" s="150" t="str" cm="1">
        <f t="array" ref="AH108">IF(AND(OR('DSCR (RT)'!$S$12=$A$7),'DSCR (RT)'!$S$24='Feed(DSCR)'!$K$10,OR('DSCR (RT)'!$S$20=$G$9:$G$12),OR('DSCR (RT)'!$S$11=$B$5:$B$11),OR('DSCR (RT)'!$S$21=$J$4)),NA(),"")</f>
        <v/>
      </c>
      <c r="AI108" s="127" t="s">
        <v>813</v>
      </c>
      <c r="AJ108"/>
      <c r="AK108"/>
      <c r="AL108"/>
      <c r="AM108"/>
      <c r="AN108"/>
    </row>
    <row r="109" spans="2:48" x14ac:dyDescent="0.25">
      <c r="B109" s="144">
        <f>'DSCR (RT)'!B38</f>
        <v>9.75</v>
      </c>
      <c r="C109" s="145"/>
      <c r="D109" s="145"/>
      <c r="E109" s="146">
        <f>'DSCR (RT)'!C38</f>
        <v>104.85050000000004</v>
      </c>
      <c r="F109" s="146">
        <f>'DSCR (RT)'!D38</f>
        <v>101.22499999999999</v>
      </c>
      <c r="H109" s="140">
        <v>28</v>
      </c>
      <c r="I109" s="147">
        <f t="shared" si="0"/>
        <v>9.75</v>
      </c>
      <c r="J109" s="148"/>
      <c r="K109" s="148"/>
      <c r="L109" s="149" t="e">
        <f t="shared" si="2"/>
        <v>#N/A</v>
      </c>
      <c r="M109" s="149" t="e">
        <f t="shared" si="3"/>
        <v>#N/A</v>
      </c>
      <c r="N109" s="365">
        <v>9.75</v>
      </c>
      <c r="Y109" s="363" t="s">
        <v>272</v>
      </c>
      <c r="Z109" s="363"/>
      <c r="AA109" s="363" t="s">
        <v>477</v>
      </c>
      <c r="AB109"/>
      <c r="AC109"/>
      <c r="AD109"/>
      <c r="AE109"/>
      <c r="AF109"/>
      <c r="AG109" s="127" t="s">
        <v>786</v>
      </c>
      <c r="AH109" s="150" t="str" cm="1">
        <f t="array" ref="AH109">IF(AND(OR('DSCR (RT)'!$S$12=$A$8),'DSCR (RT)'!$S$24='Feed(DSCR)'!$K$10,OR('DSCR (RT)'!$S$20=$G$9:$G$12),OR('DSCR (RT)'!$S$11=$B$3:$B$11),OR('DSCR (RT)'!$S$21=$J$4)),NA(),"")</f>
        <v/>
      </c>
      <c r="AI109" s="127" t="s">
        <v>814</v>
      </c>
      <c r="AJ109"/>
      <c r="AK109"/>
      <c r="AL109"/>
      <c r="AM109"/>
      <c r="AN109"/>
    </row>
    <row r="110" spans="2:48" x14ac:dyDescent="0.25">
      <c r="B110" s="144">
        <f>'DSCR (RT)'!B39</f>
        <v>9.875</v>
      </c>
      <c r="C110" s="145"/>
      <c r="D110" s="145"/>
      <c r="E110" s="146">
        <f>'DSCR (RT)'!C39</f>
        <v>104.97550000000004</v>
      </c>
      <c r="F110" s="146">
        <f>'DSCR (RT)'!D39</f>
        <v>101.47499999999999</v>
      </c>
      <c r="H110" s="140">
        <v>29</v>
      </c>
      <c r="I110" s="147">
        <f t="shared" si="0"/>
        <v>9.875</v>
      </c>
      <c r="J110" s="148"/>
      <c r="K110" s="148"/>
      <c r="L110" s="149" t="e">
        <f t="shared" si="2"/>
        <v>#N/A</v>
      </c>
      <c r="M110" s="149" t="e">
        <f t="shared" si="3"/>
        <v>#N/A</v>
      </c>
      <c r="N110" s="365">
        <v>9.875</v>
      </c>
      <c r="Y110" s="363" t="s">
        <v>272</v>
      </c>
      <c r="Z110" s="363"/>
      <c r="AA110" s="363" t="s">
        <v>485</v>
      </c>
      <c r="AB110"/>
      <c r="AC110"/>
      <c r="AD110"/>
      <c r="AE110"/>
      <c r="AF110"/>
      <c r="AG110" t="s">
        <v>796</v>
      </c>
      <c r="AH110" s="150" t="str" cm="1">
        <f t="array" ref="AH110">IF(AND(OR('DSCR (RT)'!$S$12='Feed(DSCR)'!$A$3:$A$6),'DSCR (RT)'!$S$24='Feed(DSCR)'!$K$10,OR('DSCR (RT)'!$S$20=$G$9:$G$12),OR('DSCR (RT)'!$S$11=$B$3:$B$11),OR('DSCR (RT)'!$S$21=$J$5)),NA(),"")</f>
        <v/>
      </c>
      <c r="AI110" s="89" t="s">
        <v>815</v>
      </c>
      <c r="AJ110"/>
      <c r="AK110"/>
      <c r="AL110"/>
      <c r="AM110"/>
      <c r="AN110"/>
    </row>
    <row r="111" spans="2:48" x14ac:dyDescent="0.25">
      <c r="B111" s="144">
        <f>'DSCR (RT)'!B40</f>
        <v>9.9990000000000006</v>
      </c>
      <c r="C111" s="145"/>
      <c r="D111" s="145"/>
      <c r="E111" s="146">
        <f>'DSCR (RT)'!C40</f>
        <v>105.10050000000004</v>
      </c>
      <c r="F111" s="146">
        <f>'DSCR (RT)'!D40</f>
        <v>101.72499999999999</v>
      </c>
      <c r="H111" s="140">
        <v>30</v>
      </c>
      <c r="I111" s="147">
        <f t="shared" si="0"/>
        <v>9.9990000000000006</v>
      </c>
      <c r="J111" s="148"/>
      <c r="K111" s="148"/>
      <c r="L111" s="149" t="e">
        <f t="shared" si="2"/>
        <v>#N/A</v>
      </c>
      <c r="M111" s="149" t="e">
        <f t="shared" si="3"/>
        <v>#N/A</v>
      </c>
      <c r="N111" s="365">
        <v>9.9990000000000006</v>
      </c>
      <c r="Y111" s="363" t="s">
        <v>272</v>
      </c>
      <c r="Z111" s="368"/>
      <c r="AA111" s="363" t="s">
        <v>495</v>
      </c>
      <c r="AB111"/>
      <c r="AC111"/>
      <c r="AD111"/>
      <c r="AE111"/>
      <c r="AF111"/>
      <c r="AG111" t="s">
        <v>797</v>
      </c>
      <c r="AH111" s="150" t="str" cm="1">
        <f t="array" ref="AH111">IF(AND(OR('DSCR (RT)'!$S$12=$A$7),'DSCR (RT)'!$S$24='Feed(DSCR)'!$K$10,OR('DSCR (RT)'!$S$20=$G$9:$G$12),OR('DSCR (RT)'!$S$11=$B$3:$B$11),OR('DSCR (RT)'!$S$21=$J$5)),NA(),"")</f>
        <v/>
      </c>
      <c r="AI111" s="89" t="s">
        <v>816</v>
      </c>
      <c r="AJ111"/>
      <c r="AK111"/>
      <c r="AL111"/>
      <c r="AM111"/>
      <c r="AN111"/>
    </row>
    <row r="112" spans="2:48" x14ac:dyDescent="0.25">
      <c r="B112" s="144">
        <f>'DSCR (RT)'!B41</f>
        <v>10.125</v>
      </c>
      <c r="C112" s="145"/>
      <c r="D112" s="145"/>
      <c r="E112" s="146">
        <f>'DSCR (RT)'!C41</f>
        <v>105.22550000000004</v>
      </c>
      <c r="F112" s="146">
        <f>'DSCR (RT)'!D41</f>
        <v>101.97499999999999</v>
      </c>
      <c r="H112" s="140">
        <v>31</v>
      </c>
      <c r="I112" s="147">
        <f t="shared" si="0"/>
        <v>10.125</v>
      </c>
      <c r="J112" s="148"/>
      <c r="K112" s="148"/>
      <c r="L112" s="149" t="e">
        <f t="shared" si="2"/>
        <v>#N/A</v>
      </c>
      <c r="M112" s="149" t="e">
        <f t="shared" si="3"/>
        <v>#N/A</v>
      </c>
      <c r="N112" s="365">
        <v>10.125</v>
      </c>
      <c r="Y112" s="363" t="s">
        <v>272</v>
      </c>
      <c r="Z112" s="368"/>
      <c r="AA112" s="363" t="s">
        <v>503</v>
      </c>
      <c r="AB112"/>
      <c r="AC112"/>
      <c r="AD112"/>
      <c r="AE112"/>
      <c r="AF112"/>
      <c r="AG112" s="89" t="s">
        <v>798</v>
      </c>
      <c r="AH112" s="150" t="str" cm="1">
        <f t="array" ref="AH112">IF(AND(OR('DSCR (RT)'!$S$12=$A$8),'DSCR (RT)'!$S$24='Feed(DSCR)'!$K$10,OR('DSCR (RT)'!$S$20=$G$9:$G$12),OR('DSCR (RT)'!$S$11=$B$3:$B$11),OR('DSCR (RT)'!$S$21=$J$5)),NA(),"")</f>
        <v/>
      </c>
      <c r="AI112" s="89" t="s">
        <v>817</v>
      </c>
      <c r="AJ112"/>
      <c r="AK112"/>
      <c r="AL112"/>
      <c r="AM112"/>
      <c r="AN112"/>
    </row>
    <row r="113" spans="2:40" x14ac:dyDescent="0.25">
      <c r="B113" s="144">
        <f>'DSCR (RT)'!B42</f>
        <v>10.25</v>
      </c>
      <c r="C113" s="145"/>
      <c r="D113" s="145"/>
      <c r="E113" s="146">
        <f>'DSCR (RT)'!C42</f>
        <v>105.35050000000004</v>
      </c>
      <c r="F113" s="146">
        <f>'DSCR (RT)'!D42</f>
        <v>102.22499999999999</v>
      </c>
      <c r="H113" s="140">
        <v>32</v>
      </c>
      <c r="I113" s="147">
        <f t="shared" si="0"/>
        <v>10.25</v>
      </c>
      <c r="J113" s="148"/>
      <c r="K113" s="148"/>
      <c r="L113" s="149" t="e">
        <f t="shared" si="2"/>
        <v>#N/A</v>
      </c>
      <c r="M113" s="149" t="e">
        <f t="shared" si="3"/>
        <v>#N/A</v>
      </c>
      <c r="N113" s="365">
        <v>10.25</v>
      </c>
      <c r="Y113" s="363" t="s">
        <v>272</v>
      </c>
      <c r="Z113" s="368"/>
      <c r="AA113" s="363" t="s">
        <v>511</v>
      </c>
      <c r="AB113"/>
      <c r="AC113"/>
      <c r="AD113"/>
      <c r="AE113"/>
      <c r="AF113"/>
      <c r="AG113" s="89" t="s">
        <v>865</v>
      </c>
      <c r="AH113" s="150" t="str" cm="1">
        <f t="array" ref="AH113">IF(AND('DSCR (RT)'!$S$24='Feed(DSCR)'!$K$10,OR('DSCR (RT)'!$S$20=$G$3:$G$4)),NA(),"")</f>
        <v/>
      </c>
      <c r="AI113" s="89" t="s">
        <v>864</v>
      </c>
      <c r="AJ113"/>
      <c r="AK113"/>
      <c r="AL113"/>
      <c r="AM113"/>
      <c r="AN113"/>
    </row>
    <row r="114" spans="2:40" x14ac:dyDescent="0.25">
      <c r="B114" s="144">
        <f>'DSCR (RT)'!B43</f>
        <v>10.375</v>
      </c>
      <c r="C114" s="145"/>
      <c r="D114" s="145"/>
      <c r="E114" s="146">
        <f>'DSCR (RT)'!C43</f>
        <v>105.47550000000004</v>
      </c>
      <c r="F114" s="146">
        <f>'DSCR (RT)'!D43</f>
        <v>102.47499999999999</v>
      </c>
      <c r="H114" s="140">
        <v>33</v>
      </c>
      <c r="I114" s="147">
        <f t="shared" si="0"/>
        <v>10.375</v>
      </c>
      <c r="J114" s="148"/>
      <c r="K114" s="148"/>
      <c r="L114" s="149" t="e">
        <f t="shared" si="2"/>
        <v>#N/A</v>
      </c>
      <c r="M114" s="149" t="e">
        <f t="shared" si="3"/>
        <v>#N/A</v>
      </c>
      <c r="N114" s="365">
        <v>10.375</v>
      </c>
      <c r="Y114" s="363" t="s">
        <v>272</v>
      </c>
      <c r="Z114" s="368"/>
      <c r="AA114" s="363" t="s">
        <v>520</v>
      </c>
      <c r="AB114"/>
      <c r="AC114"/>
      <c r="AD114"/>
      <c r="AE114"/>
      <c r="AF114"/>
      <c r="AG114"/>
      <c r="AH114"/>
      <c r="AI114"/>
      <c r="AJ114"/>
      <c r="AK114"/>
      <c r="AL114"/>
      <c r="AM114"/>
      <c r="AN114"/>
    </row>
    <row r="115" spans="2:40" x14ac:dyDescent="0.25">
      <c r="B115" s="144">
        <f>'DSCR (RT)'!B44</f>
        <v>10.499000000000001</v>
      </c>
      <c r="C115" s="145"/>
      <c r="D115" s="145"/>
      <c r="E115" s="146">
        <f>'DSCR (RT)'!C44</f>
        <v>105.60050000000004</v>
      </c>
      <c r="F115" s="146">
        <f>'DSCR (RT)'!D44</f>
        <v>102.72499999999999</v>
      </c>
      <c r="H115" s="140">
        <v>34</v>
      </c>
      <c r="I115" s="147">
        <f t="shared" si="0"/>
        <v>10.499000000000001</v>
      </c>
      <c r="J115" s="148"/>
      <c r="K115" s="148"/>
      <c r="L115" s="149" t="e">
        <f t="shared" si="2"/>
        <v>#N/A</v>
      </c>
      <c r="M115" s="149" t="e">
        <f t="shared" si="3"/>
        <v>#N/A</v>
      </c>
      <c r="N115" s="365">
        <v>10.499000000000001</v>
      </c>
      <c r="Y115" s="363" t="s">
        <v>272</v>
      </c>
      <c r="Z115" s="368"/>
      <c r="AA115" s="363" t="s">
        <v>528</v>
      </c>
      <c r="AB115"/>
      <c r="AC115"/>
      <c r="AD115"/>
      <c r="AE115"/>
      <c r="AF115"/>
      <c r="AG115"/>
      <c r="AH115"/>
      <c r="AI115"/>
      <c r="AJ115"/>
      <c r="AK115"/>
      <c r="AL115"/>
      <c r="AM115"/>
      <c r="AN115"/>
    </row>
    <row r="116" spans="2:40" x14ac:dyDescent="0.25">
      <c r="B116" s="144">
        <f>'DSCR (RT)'!B45</f>
        <v>10.625</v>
      </c>
      <c r="C116" s="145"/>
      <c r="D116" s="145"/>
      <c r="E116" s="146">
        <f>'DSCR (RT)'!C45</f>
        <v>105.72550000000004</v>
      </c>
      <c r="F116" s="146">
        <f>'DSCR (RT)'!D45</f>
        <v>102.97499999999999</v>
      </c>
      <c r="H116" s="140">
        <v>35</v>
      </c>
      <c r="I116" s="147">
        <f t="shared" si="0"/>
        <v>10.625</v>
      </c>
      <c r="J116" s="148"/>
      <c r="K116" s="148"/>
      <c r="L116" s="149" t="e">
        <f t="shared" si="2"/>
        <v>#N/A</v>
      </c>
      <c r="M116" s="149" t="e">
        <f t="shared" si="3"/>
        <v>#N/A</v>
      </c>
      <c r="N116" s="365">
        <v>10.625</v>
      </c>
      <c r="Y116" s="363" t="s">
        <v>272</v>
      </c>
      <c r="Z116" s="368"/>
      <c r="AA116" s="363" t="s">
        <v>537</v>
      </c>
      <c r="AB116"/>
      <c r="AC116"/>
      <c r="AD116"/>
      <c r="AE116"/>
      <c r="AF116"/>
      <c r="AG116"/>
      <c r="AH116"/>
      <c r="AI116"/>
      <c r="AJ116"/>
      <c r="AK116"/>
      <c r="AL116"/>
      <c r="AM116"/>
      <c r="AN116"/>
    </row>
    <row r="117" spans="2:40" x14ac:dyDescent="0.25">
      <c r="B117" s="144">
        <f>'DSCR (RT)'!B46</f>
        <v>10.75</v>
      </c>
      <c r="C117" s="145"/>
      <c r="D117" s="145"/>
      <c r="E117" s="146">
        <f>'DSCR (RT)'!C46</f>
        <v>105.85050000000004</v>
      </c>
      <c r="F117" s="146">
        <f>'DSCR (RT)'!D46</f>
        <v>103.22499999999999</v>
      </c>
      <c r="H117" s="140">
        <v>36</v>
      </c>
      <c r="I117" s="147">
        <f t="shared" si="0"/>
        <v>10.75</v>
      </c>
      <c r="J117" s="148"/>
      <c r="K117" s="148"/>
      <c r="L117" s="149" t="e">
        <f t="shared" si="2"/>
        <v>#N/A</v>
      </c>
      <c r="M117" s="149" t="e">
        <f t="shared" si="3"/>
        <v>#N/A</v>
      </c>
      <c r="N117" s="365">
        <v>10.75</v>
      </c>
      <c r="Y117" s="363" t="s">
        <v>272</v>
      </c>
      <c r="Z117" s="368"/>
      <c r="AA117" s="363" t="s">
        <v>545</v>
      </c>
      <c r="AB117"/>
      <c r="AC117"/>
      <c r="AD117"/>
      <c r="AE117"/>
      <c r="AF117"/>
      <c r="AG117"/>
      <c r="AH117"/>
      <c r="AI117"/>
      <c r="AJ117"/>
      <c r="AK117"/>
      <c r="AL117"/>
      <c r="AM117"/>
      <c r="AN117"/>
    </row>
    <row r="118" spans="2:40" x14ac:dyDescent="0.25">
      <c r="B118" s="144">
        <f>'DSCR (RT)'!B47</f>
        <v>0</v>
      </c>
      <c r="C118" s="145"/>
      <c r="D118" s="145"/>
      <c r="E118" s="146">
        <f>'DSCR (RT)'!C47</f>
        <v>0</v>
      </c>
      <c r="F118" s="146">
        <f>'DSCR (RT)'!D47</f>
        <v>0</v>
      </c>
      <c r="H118" s="140">
        <v>37</v>
      </c>
      <c r="I118" s="147">
        <f t="shared" si="0"/>
        <v>0</v>
      </c>
      <c r="J118" s="148"/>
      <c r="K118" s="148"/>
      <c r="L118" s="149" t="e">
        <f t="shared" si="2"/>
        <v>#N/A</v>
      </c>
      <c r="M118" s="149" t="e">
        <f t="shared" si="3"/>
        <v>#N/A</v>
      </c>
      <c r="N118" s="365">
        <v>0</v>
      </c>
      <c r="Y118" s="363" t="s">
        <v>272</v>
      </c>
      <c r="Z118" s="368"/>
      <c r="AA118" s="363" t="s">
        <v>553</v>
      </c>
      <c r="AB118"/>
      <c r="AC118"/>
      <c r="AD118"/>
      <c r="AE118"/>
      <c r="AF118"/>
      <c r="AG118"/>
      <c r="AH118"/>
      <c r="AI118"/>
      <c r="AJ118"/>
      <c r="AK118"/>
      <c r="AL118"/>
      <c r="AM118"/>
      <c r="AN118"/>
    </row>
    <row r="119" spans="2:40" x14ac:dyDescent="0.25">
      <c r="B119" s="144">
        <f>'DSCR (RT)'!B48</f>
        <v>0</v>
      </c>
      <c r="C119" s="145"/>
      <c r="D119" s="145"/>
      <c r="E119" s="146">
        <f>'DSCR (RT)'!C48</f>
        <v>0</v>
      </c>
      <c r="F119" s="146">
        <f>'DSCR (RT)'!D48</f>
        <v>0</v>
      </c>
      <c r="H119" s="140">
        <v>38</v>
      </c>
      <c r="I119" s="147">
        <f t="shared" si="0"/>
        <v>0</v>
      </c>
      <c r="J119" s="148"/>
      <c r="K119" s="148"/>
      <c r="L119" s="149" t="e">
        <f t="shared" si="2"/>
        <v>#N/A</v>
      </c>
      <c r="M119" s="149" t="e">
        <f t="shared" si="3"/>
        <v>#N/A</v>
      </c>
      <c r="N119" s="365">
        <v>0</v>
      </c>
      <c r="P119" s="139"/>
      <c r="Y119" s="363" t="s">
        <v>272</v>
      </c>
      <c r="Z119" s="368"/>
      <c r="AA119" s="363" t="s">
        <v>561</v>
      </c>
      <c r="AB119"/>
      <c r="AC119"/>
      <c r="AD119"/>
      <c r="AE119"/>
      <c r="AF119"/>
      <c r="AG119"/>
      <c r="AH119"/>
      <c r="AI119"/>
      <c r="AJ119"/>
      <c r="AK119"/>
      <c r="AL119"/>
      <c r="AM119"/>
      <c r="AN119"/>
    </row>
    <row r="120" spans="2:40" x14ac:dyDescent="0.25">
      <c r="B120" s="144">
        <f>'DSCR (RT)'!B49</f>
        <v>0</v>
      </c>
      <c r="C120" s="145"/>
      <c r="D120" s="145"/>
      <c r="E120" s="146">
        <f>'DSCR (RT)'!C49</f>
        <v>0</v>
      </c>
      <c r="F120" s="146">
        <f>'DSCR (RT)'!D49</f>
        <v>0</v>
      </c>
      <c r="H120" s="140">
        <v>39</v>
      </c>
      <c r="I120" s="147">
        <f t="shared" si="0"/>
        <v>0</v>
      </c>
      <c r="J120" s="148"/>
      <c r="K120" s="148"/>
      <c r="L120" s="149" t="e">
        <f t="shared" si="2"/>
        <v>#N/A</v>
      </c>
      <c r="M120" s="149" t="e">
        <f t="shared" si="3"/>
        <v>#N/A</v>
      </c>
      <c r="N120" s="365">
        <v>0</v>
      </c>
      <c r="Y120" s="363" t="s">
        <v>272</v>
      </c>
      <c r="Z120" s="368"/>
      <c r="AA120" s="363" t="s">
        <v>571</v>
      </c>
      <c r="AB120"/>
      <c r="AC120"/>
      <c r="AD120"/>
      <c r="AE120"/>
      <c r="AF120"/>
      <c r="AG120"/>
      <c r="AH120"/>
      <c r="AI120"/>
      <c r="AJ120"/>
      <c r="AK120"/>
      <c r="AL120"/>
      <c r="AM120"/>
      <c r="AN120"/>
    </row>
    <row r="121" spans="2:40" x14ac:dyDescent="0.25">
      <c r="B121" s="144">
        <f>'DSCR (RT)'!B50</f>
        <v>0</v>
      </c>
      <c r="C121" s="145"/>
      <c r="D121" s="145"/>
      <c r="E121" s="146">
        <f>'DSCR (RT)'!C50</f>
        <v>0</v>
      </c>
      <c r="F121" s="146">
        <f>'DSCR (RT)'!D50</f>
        <v>0</v>
      </c>
      <c r="H121" s="140">
        <v>40</v>
      </c>
      <c r="I121" s="147">
        <f t="shared" si="0"/>
        <v>0</v>
      </c>
      <c r="J121" s="148"/>
      <c r="K121" s="148"/>
      <c r="L121" s="149" t="e">
        <f t="shared" si="2"/>
        <v>#N/A</v>
      </c>
      <c r="M121" s="149" t="e">
        <f t="shared" si="3"/>
        <v>#N/A</v>
      </c>
      <c r="N121" s="365">
        <v>0</v>
      </c>
      <c r="Y121" s="363" t="s">
        <v>272</v>
      </c>
      <c r="Z121" s="368"/>
      <c r="AA121" s="363"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5">
        <v>0</v>
      </c>
      <c r="Y122" s="363" t="s">
        <v>272</v>
      </c>
      <c r="Z122" s="368"/>
      <c r="AA122" s="380"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5">
        <v>0</v>
      </c>
      <c r="P123" s="155"/>
      <c r="Y123" s="363" t="s">
        <v>272</v>
      </c>
      <c r="Z123" s="368"/>
      <c r="AA123" s="363"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8"/>
      <c r="Z124" s="368" t="str">
        <f>IF(AND(
   ISNUMBER(MATCH('DSCR (RT)'!$S$15, $D$18:$D$19, 0)),
   ISNUMBER(MATCH('DSCR (RT)'!$S$13, $C$5:$C$8))), NA(), "")</f>
        <v/>
      </c>
      <c r="AA124" s="366"/>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77"/>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697" t="str">
        <f>'DSCR (RT)'!Q55</f>
        <v>Max Price</v>
      </c>
      <c r="C129" s="698"/>
      <c r="D129" s="698"/>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49" t="e">
        <f>#REF!</f>
        <v>#REF!</v>
      </c>
      <c r="C130" s="750"/>
      <c r="D130" s="383"/>
      <c r="E130" s="470"/>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49"/>
      <c r="C131" s="750"/>
      <c r="D131" s="383"/>
      <c r="E131" s="470"/>
      <c r="F131"/>
      <c r="AA131"/>
      <c r="AB131"/>
      <c r="AC131"/>
      <c r="AD131"/>
      <c r="AE131"/>
      <c r="AF131"/>
      <c r="AG131"/>
      <c r="AH131"/>
      <c r="AI131"/>
      <c r="AJ131"/>
      <c r="AK131"/>
      <c r="AL131"/>
      <c r="AM131"/>
      <c r="AN131"/>
    </row>
    <row r="132" spans="1:40" x14ac:dyDescent="0.25">
      <c r="B132" s="704" t="e">
        <f>#REF!</f>
        <v>#REF!</v>
      </c>
      <c r="C132" s="705"/>
      <c r="D132" s="354">
        <f>'DSCR (RT)'!R59</f>
        <v>100.5</v>
      </c>
      <c r="E132" s="471"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704" t="str">
        <f>'DSCR (RT)'!Q60</f>
        <v>ITIN/Foreign National</v>
      </c>
      <c r="C133" s="705"/>
      <c r="D133" s="354">
        <f>'DSCR (RT)'!R60</f>
        <v>100</v>
      </c>
      <c r="E133" s="471"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704" t="e">
        <f>#REF!</f>
        <v>#REF!</v>
      </c>
      <c r="C134" s="705"/>
      <c r="D134" s="354">
        <f>'DSCR (RT)'!R61</f>
        <v>100</v>
      </c>
      <c r="E134" s="471" t="str">
        <f>IF(OR('DSCR (RT)'!S32=S4),D134,"")</f>
        <v/>
      </c>
      <c r="F134"/>
      <c r="G134"/>
      <c r="H134"/>
      <c r="I134" s="690" t="s">
        <v>636</v>
      </c>
      <c r="J134" s="691"/>
      <c r="K134" s="174">
        <f>IF(L134="","",N130)</f>
        <v>0</v>
      </c>
      <c r="L134" s="175">
        <f>IF(N132&gt;E147,E147,N132)</f>
        <v>0</v>
      </c>
      <c r="M134"/>
      <c r="X134"/>
      <c r="Y134"/>
      <c r="Z134"/>
      <c r="AA134"/>
      <c r="AB134"/>
      <c r="AC134"/>
      <c r="AD134"/>
      <c r="AE134"/>
      <c r="AF134"/>
      <c r="AG134"/>
      <c r="AH134"/>
      <c r="AI134"/>
      <c r="AJ134"/>
      <c r="AK134"/>
    </row>
    <row r="135" spans="1:40" ht="15.75" thickBot="1" x14ac:dyDescent="0.3">
      <c r="B135" s="704" t="str">
        <f>'DSCR (RT)'!Q62</f>
        <v>No PPP</v>
      </c>
      <c r="C135" s="705"/>
      <c r="D135" s="354">
        <f>'DSCR (RT)'!R62</f>
        <v>100</v>
      </c>
      <c r="E135" s="471" t="str">
        <f>IF(AND(ISNUMBER(MATCH('DSCR (RT)'!S23, L5:L6, 0)),OR(ISNUMBER(MATCH('DSCR (RT)'!S27, H3:H4, 0)),)), D135, "")</f>
        <v/>
      </c>
      <c r="F135"/>
      <c r="G135"/>
      <c r="H135"/>
      <c r="I135" s="695"/>
      <c r="J135" s="696"/>
      <c r="K135" s="176"/>
      <c r="L135" s="177"/>
      <c r="M135"/>
      <c r="X135"/>
      <c r="Y135"/>
      <c r="Z135"/>
      <c r="AA135"/>
      <c r="AB135"/>
      <c r="AC135"/>
      <c r="AD135"/>
      <c r="AE135"/>
      <c r="AF135"/>
      <c r="AG135"/>
      <c r="AH135"/>
      <c r="AI135"/>
      <c r="AJ135"/>
      <c r="AK135"/>
    </row>
    <row r="136" spans="1:40" x14ac:dyDescent="0.25">
      <c r="A136" s="89" t="s">
        <v>176</v>
      </c>
      <c r="B136" s="704" t="str">
        <f>'DSCR (RT)'!Q63</f>
        <v>12 Months PPP</v>
      </c>
      <c r="C136" s="705"/>
      <c r="D136" s="354">
        <f>'DSCR (RT)'!R63</f>
        <v>101</v>
      </c>
      <c r="E136" s="471"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704" t="str">
        <f>'DSCR (RT)'!Q64</f>
        <v>24 Months PPP</v>
      </c>
      <c r="C137" s="705"/>
      <c r="D137" s="354">
        <f>'DSCR (RT)'!R64</f>
        <v>101.5</v>
      </c>
      <c r="E137" s="471"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704" t="str">
        <f>'DSCR (RT)'!Q56</f>
        <v>36-60 Months PPP</v>
      </c>
      <c r="C138" s="705"/>
      <c r="D138" s="353">
        <f>'DSCR (RT)'!R56</f>
        <v>102</v>
      </c>
      <c r="E138" s="471"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704" t="str">
        <f>'DSCR (RT)'!Q57</f>
        <v>&gt;$2,000,000</v>
      </c>
      <c r="C139" s="705"/>
      <c r="D139" s="353">
        <f>'DSCR (RT)'!R57</f>
        <v>100.25</v>
      </c>
      <c r="E139" s="471" t="str" cm="1">
        <f t="array" ref="E139">IF(OR('DSCR (RT)'!S20=G8:G12),D139,"")</f>
        <v/>
      </c>
      <c r="F139"/>
      <c r="G139"/>
      <c r="H139"/>
      <c r="I139"/>
      <c r="J139"/>
      <c r="K139"/>
      <c r="L139"/>
      <c r="M139"/>
      <c r="X139"/>
      <c r="Y139"/>
      <c r="Z139"/>
      <c r="AA139"/>
      <c r="AB139"/>
      <c r="AC139"/>
      <c r="AD139"/>
      <c r="AE139"/>
      <c r="AF139"/>
      <c r="AG139"/>
      <c r="AH139"/>
      <c r="AI139"/>
      <c r="AJ139"/>
      <c r="AK139"/>
    </row>
    <row r="140" spans="1:40" x14ac:dyDescent="0.25">
      <c r="A140" s="89" t="s">
        <v>176</v>
      </c>
      <c r="B140" s="704" t="str">
        <f>'DSCR (RT)'!Q58</f>
        <v>&gt;$2,500,000</v>
      </c>
      <c r="C140" s="705"/>
      <c r="D140" s="353">
        <f>'DSCR (RT)'!R58</f>
        <v>100</v>
      </c>
      <c r="E140" s="471" t="str" cm="1">
        <f t="array" ref="E140">IF(OR('DSCR (RT)'!S20=G9:G12),D140,"")</f>
        <v/>
      </c>
      <c r="F140"/>
      <c r="G140"/>
      <c r="H140"/>
      <c r="I140"/>
      <c r="J140"/>
      <c r="K140"/>
      <c r="L140"/>
      <c r="M140"/>
    </row>
    <row r="141" spans="1:40" x14ac:dyDescent="0.25">
      <c r="B141" s="704" t="str">
        <f>'DSCR (RT)'!Q66</f>
        <v>DSCR 5-8 Units</v>
      </c>
      <c r="C141" s="705"/>
      <c r="D141" s="353">
        <f>'DSCR (RT)'!R66</f>
        <v>100</v>
      </c>
      <c r="E141" s="471" t="str">
        <f>IF(OR('DSCR (RT)'!S24=K10),D141,"")</f>
        <v/>
      </c>
      <c r="F141"/>
      <c r="G141"/>
      <c r="H141"/>
      <c r="I141"/>
      <c r="J141"/>
      <c r="K141"/>
      <c r="L141"/>
      <c r="M141"/>
    </row>
    <row r="142" spans="1:40" x14ac:dyDescent="0.25">
      <c r="A142" s="89" t="s">
        <v>176</v>
      </c>
      <c r="B142" s="704" t="str">
        <f>'DSCR (RT)'!Q65</f>
        <v>NJ Title Vested in LLC</v>
      </c>
      <c r="C142" s="705"/>
      <c r="D142" s="353">
        <f>'DSCR (RT)'!R65</f>
        <v>100</v>
      </c>
      <c r="E142" s="472" t="str">
        <f>IF(OR('DSCR (RT)'!S28=J15),D142,"")</f>
        <v/>
      </c>
      <c r="F142"/>
      <c r="G142"/>
      <c r="H142"/>
      <c r="I142"/>
      <c r="J142"/>
      <c r="K142"/>
      <c r="L142"/>
      <c r="M142"/>
    </row>
    <row r="143" spans="1:40" x14ac:dyDescent="0.25">
      <c r="B143" s="704">
        <f>'DSCR (RT)'!Q67</f>
        <v>0</v>
      </c>
      <c r="C143" s="705"/>
      <c r="D143" s="353">
        <f>'DSCR (RT)'!R67</f>
        <v>0</v>
      </c>
      <c r="E143" s="472" t="str">
        <f>IF(AND('DSCR (RT)'!S29=T16,OR('DSCR (RT)'!S23=L6),'DSCR (RT)'!S27=H3),D143,"")</f>
        <v/>
      </c>
      <c r="F143"/>
      <c r="G143"/>
      <c r="H143"/>
      <c r="I143"/>
      <c r="J143"/>
      <c r="K143"/>
      <c r="L143"/>
      <c r="M143"/>
    </row>
    <row r="144" spans="1:40" x14ac:dyDescent="0.25">
      <c r="B144" s="749"/>
      <c r="C144" s="750"/>
      <c r="D144" s="383"/>
      <c r="E144" s="470"/>
      <c r="F144"/>
      <c r="G144"/>
      <c r="H144"/>
      <c r="I144"/>
      <c r="J144"/>
      <c r="K144"/>
      <c r="L144"/>
      <c r="M144"/>
    </row>
    <row r="145" spans="2:23" x14ac:dyDescent="0.25">
      <c r="B145" s="381"/>
      <c r="C145" s="382"/>
      <c r="D145" s="383"/>
      <c r="E145" s="470"/>
      <c r="F145"/>
      <c r="G145"/>
      <c r="H145"/>
      <c r="I145"/>
      <c r="J145"/>
      <c r="K145"/>
      <c r="L145"/>
      <c r="M145"/>
    </row>
    <row r="146" spans="2:23" ht="15.75" thickBot="1" x14ac:dyDescent="0.3">
      <c r="B146" s="381"/>
      <c r="C146" s="382"/>
      <c r="D146" s="383"/>
      <c r="E146" s="473"/>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4" t="str">
        <f>'DSCR (RT)'!Q69</f>
        <v>&gt;$2,500,000</v>
      </c>
      <c r="C150" s="385"/>
      <c r="D150" s="386">
        <f>'DSCR (RT)'!R69</f>
        <v>6.99</v>
      </c>
      <c r="E150" s="471" t="str" cm="1">
        <f t="array" ref="E150">IF(OR('DSCR (RT)'!S20=G9:G12),D150,"")</f>
        <v/>
      </c>
      <c r="F150"/>
      <c r="G150"/>
      <c r="H150"/>
      <c r="I150"/>
      <c r="J150"/>
      <c r="K150"/>
      <c r="L150"/>
      <c r="M150"/>
    </row>
    <row r="151" spans="2:23" ht="15.75" thickBot="1" x14ac:dyDescent="0.3">
      <c r="B151" s="384" t="str">
        <f>'DSCR (RT)'!Q70</f>
        <v>ITIN/Foreign National</v>
      </c>
      <c r="C151" s="385"/>
      <c r="D151" s="386">
        <f>'DSCR (RT)'!R70</f>
        <v>7.375</v>
      </c>
      <c r="E151" s="471"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77"/>
      <c r="F154"/>
      <c r="G154"/>
      <c r="H154"/>
      <c r="I154"/>
      <c r="J154"/>
      <c r="K154"/>
      <c r="L154"/>
      <c r="M154"/>
    </row>
    <row r="155" spans="2:23" x14ac:dyDescent="0.25">
      <c r="B155"/>
      <c r="C155"/>
      <c r="D155"/>
      <c r="E155" s="477"/>
      <c r="F155"/>
      <c r="G155"/>
      <c r="H155"/>
      <c r="I155"/>
      <c r="J155"/>
      <c r="K155"/>
      <c r="L155"/>
      <c r="M155"/>
    </row>
    <row r="156" spans="2:23" x14ac:dyDescent="0.25">
      <c r="B156"/>
      <c r="C156"/>
      <c r="D156"/>
      <c r="E156" s="477"/>
      <c r="F156"/>
      <c r="G156"/>
      <c r="H156"/>
      <c r="I156"/>
      <c r="J156"/>
      <c r="K156"/>
      <c r="L156"/>
      <c r="M156"/>
    </row>
    <row r="157" spans="2:23" x14ac:dyDescent="0.25">
      <c r="B157"/>
      <c r="C157"/>
      <c r="D157"/>
      <c r="E157" s="477"/>
      <c r="F157"/>
      <c r="G157"/>
      <c r="H157"/>
      <c r="I157"/>
      <c r="J157"/>
      <c r="K157"/>
      <c r="L157"/>
      <c r="M157"/>
    </row>
    <row r="158" spans="2:23" ht="15.75" thickBot="1" x14ac:dyDescent="0.3">
      <c r="B158"/>
      <c r="C158"/>
      <c r="D158"/>
      <c r="E158" s="477"/>
      <c r="F158"/>
      <c r="G158"/>
      <c r="H158"/>
      <c r="I158"/>
      <c r="J158"/>
      <c r="K158"/>
      <c r="L158"/>
      <c r="M158"/>
    </row>
    <row r="159" spans="2:23" ht="15.75" thickBot="1" x14ac:dyDescent="0.3">
      <c r="B159"/>
      <c r="C159"/>
      <c r="D159"/>
      <c r="E159" s="477"/>
      <c r="F159"/>
      <c r="G159"/>
      <c r="H159"/>
      <c r="I159"/>
      <c r="J159"/>
      <c r="K159"/>
      <c r="L159"/>
      <c r="M159"/>
      <c r="T159" s="452" t="s">
        <v>765</v>
      </c>
      <c r="U159" s="99"/>
      <c r="V159" s="99"/>
      <c r="W159" s="99"/>
    </row>
    <row r="160" spans="2:23" ht="12" customHeight="1" x14ac:dyDescent="0.25">
      <c r="B160"/>
      <c r="C160"/>
      <c r="D160"/>
      <c r="E160" s="477"/>
      <c r="F160"/>
      <c r="G160"/>
      <c r="H160"/>
      <c r="I160"/>
      <c r="J160"/>
      <c r="K160"/>
      <c r="L160"/>
      <c r="M160"/>
      <c r="T160" s="452" t="s">
        <v>31</v>
      </c>
      <c r="U160" s="452" t="s">
        <v>765</v>
      </c>
      <c r="V160" s="453"/>
      <c r="W160" s="454"/>
    </row>
    <row r="161" spans="2:23" ht="12" customHeight="1" x14ac:dyDescent="0.25">
      <c r="B161" s="686" t="s">
        <v>11</v>
      </c>
      <c r="C161" s="687"/>
      <c r="D161" s="12" t="s">
        <v>12</v>
      </c>
      <c r="E161" s="12" t="s">
        <v>13</v>
      </c>
      <c r="F161" s="12" t="s">
        <v>14</v>
      </c>
      <c r="G161" s="12" t="s">
        <v>15</v>
      </c>
      <c r="H161" s="12" t="s">
        <v>16</v>
      </c>
      <c r="I161" s="12" t="s">
        <v>17</v>
      </c>
      <c r="J161" s="12" t="s">
        <v>18</v>
      </c>
      <c r="K161" s="12" t="s">
        <v>19</v>
      </c>
      <c r="L161" s="11" t="s">
        <v>20</v>
      </c>
      <c r="M161"/>
      <c r="O161" s="89" t="s">
        <v>639</v>
      </c>
      <c r="T161" s="458" t="s">
        <v>766</v>
      </c>
      <c r="U161" s="458" t="s">
        <v>766</v>
      </c>
      <c r="V161" s="459" t="s">
        <v>777</v>
      </c>
      <c r="W161" s="460">
        <v>0</v>
      </c>
    </row>
    <row r="162" spans="2:23" ht="12" customHeight="1" x14ac:dyDescent="0.25">
      <c r="B162" s="643" t="s">
        <v>95</v>
      </c>
      <c r="C162" s="647"/>
      <c r="D162" s="647"/>
      <c r="E162" s="647"/>
      <c r="F162" s="647"/>
      <c r="G162" s="647"/>
      <c r="H162" s="647"/>
      <c r="I162" s="647"/>
      <c r="J162" s="647"/>
      <c r="K162" s="647"/>
      <c r="L162" s="644"/>
      <c r="M162"/>
      <c r="N162" s="99" t="s">
        <v>31</v>
      </c>
      <c r="O162" s="349"/>
      <c r="P162" s="350"/>
      <c r="Q162" s="350"/>
      <c r="R162" s="350"/>
      <c r="T162" s="458" t="s">
        <v>767</v>
      </c>
      <c r="U162" s="458" t="s">
        <v>767</v>
      </c>
      <c r="V162" s="459" t="s">
        <v>778</v>
      </c>
      <c r="W162" s="460">
        <v>0.15</v>
      </c>
    </row>
    <row r="163" spans="2:23" ht="12" customHeight="1" x14ac:dyDescent="0.25">
      <c r="B163" s="345" t="s">
        <v>213</v>
      </c>
      <c r="C163" s="346"/>
      <c r="D163" s="21">
        <v>0</v>
      </c>
      <c r="E163" s="21">
        <v>0</v>
      </c>
      <c r="F163" s="21">
        <v>0</v>
      </c>
      <c r="G163" s="21">
        <v>0</v>
      </c>
      <c r="H163" s="21">
        <v>0</v>
      </c>
      <c r="I163" s="21">
        <v>0</v>
      </c>
      <c r="J163" s="21">
        <v>0</v>
      </c>
      <c r="K163" s="21">
        <v>0</v>
      </c>
      <c r="L163" s="22" t="e">
        <v>#N/A</v>
      </c>
      <c r="M163"/>
      <c r="N163" s="89" t="s">
        <v>135</v>
      </c>
      <c r="O163" s="347"/>
      <c r="P163" s="347"/>
      <c r="Q163" s="347"/>
      <c r="R163" s="347"/>
      <c r="T163" s="458" t="s">
        <v>768</v>
      </c>
      <c r="U163" s="458" t="s">
        <v>768</v>
      </c>
      <c r="V163" s="459" t="s">
        <v>779</v>
      </c>
      <c r="W163" s="460">
        <v>0.25</v>
      </c>
    </row>
    <row r="164" spans="2:23" ht="12" customHeight="1" x14ac:dyDescent="0.25">
      <c r="B164" s="345" t="s">
        <v>238</v>
      </c>
      <c r="C164" s="346"/>
      <c r="D164" s="21">
        <v>-0.25</v>
      </c>
      <c r="E164" s="21">
        <v>-0.375</v>
      </c>
      <c r="F164" s="21">
        <v>-0.375</v>
      </c>
      <c r="G164" s="21">
        <v>-0.625</v>
      </c>
      <c r="H164" s="21">
        <v>-0.625</v>
      </c>
      <c r="I164" s="21">
        <v>-0.625</v>
      </c>
      <c r="J164" s="21">
        <v>-0.625</v>
      </c>
      <c r="K164" s="21">
        <v>-0.875</v>
      </c>
      <c r="L164" s="22" t="e">
        <v>#N/A</v>
      </c>
      <c r="M164"/>
      <c r="N164" s="89" t="s">
        <v>53</v>
      </c>
      <c r="O164" s="348"/>
      <c r="P164" s="348"/>
      <c r="Q164" s="348"/>
      <c r="R164" s="348"/>
    </row>
    <row r="165" spans="2:23" x14ac:dyDescent="0.25">
      <c r="B165" s="345" t="s">
        <v>97</v>
      </c>
      <c r="C165" s="346"/>
      <c r="D165" s="21">
        <v>-0.25</v>
      </c>
      <c r="E165" s="21">
        <v>-0.25</v>
      </c>
      <c r="F165" s="21">
        <v>-0.25</v>
      </c>
      <c r="G165" s="21">
        <v>-0.5</v>
      </c>
      <c r="H165" s="21">
        <v>-0.5</v>
      </c>
      <c r="I165" s="21">
        <v>-0.5</v>
      </c>
      <c r="J165" s="21">
        <v>-0.5</v>
      </c>
      <c r="K165" s="21">
        <v>-0.5</v>
      </c>
      <c r="L165" s="22" t="e">
        <v>#N/A</v>
      </c>
      <c r="M165"/>
      <c r="N165" s="89" t="s">
        <v>230</v>
      </c>
      <c r="O165" s="348"/>
      <c r="P165" s="348"/>
      <c r="Q165" s="348"/>
      <c r="R165" s="348"/>
    </row>
    <row r="166" spans="2:23" x14ac:dyDescent="0.25">
      <c r="B166" s="345" t="s">
        <v>237</v>
      </c>
      <c r="C166" s="346"/>
      <c r="D166" s="21">
        <v>0</v>
      </c>
      <c r="E166" s="21">
        <v>0</v>
      </c>
      <c r="F166" s="21">
        <v>0</v>
      </c>
      <c r="G166" s="21">
        <v>0</v>
      </c>
      <c r="H166" s="21">
        <v>0</v>
      </c>
      <c r="I166" s="21">
        <v>0</v>
      </c>
      <c r="J166" s="21">
        <v>0</v>
      </c>
      <c r="K166" s="21" t="e">
        <v>#N/A</v>
      </c>
      <c r="L166" s="22" t="e">
        <v>#N/A</v>
      </c>
      <c r="M166"/>
      <c r="N166" s="89" t="s">
        <v>239</v>
      </c>
    </row>
    <row r="167" spans="2:23" x14ac:dyDescent="0.25">
      <c r="B167" s="345" t="s">
        <v>98</v>
      </c>
      <c r="C167" s="346"/>
      <c r="D167" s="21">
        <v>-1</v>
      </c>
      <c r="E167" s="21">
        <v>-1</v>
      </c>
      <c r="F167" s="21">
        <v>-1</v>
      </c>
      <c r="G167" s="21">
        <v>-1</v>
      </c>
      <c r="H167" s="21">
        <v>-1.25</v>
      </c>
      <c r="I167" s="21">
        <v>-1.5</v>
      </c>
      <c r="J167" s="21" t="e">
        <v>#N/A</v>
      </c>
      <c r="K167" s="21" t="e">
        <v>#N/A</v>
      </c>
      <c r="L167" s="22" t="e">
        <v>#N/A</v>
      </c>
      <c r="M167"/>
      <c r="N167" s="89" t="s">
        <v>140</v>
      </c>
      <c r="O167" s="350"/>
      <c r="P167" s="350"/>
      <c r="Q167" s="350"/>
      <c r="R167" s="350"/>
    </row>
    <row r="168" spans="2:23" x14ac:dyDescent="0.25">
      <c r="B168" s="345" t="s">
        <v>99</v>
      </c>
      <c r="C168" s="346"/>
      <c r="D168" s="21">
        <v>0</v>
      </c>
      <c r="E168" s="21">
        <v>0</v>
      </c>
      <c r="F168" s="21">
        <v>0</v>
      </c>
      <c r="G168" s="21">
        <v>0</v>
      </c>
      <c r="H168" s="21">
        <v>0</v>
      </c>
      <c r="I168" s="21">
        <v>0</v>
      </c>
      <c r="J168" s="21">
        <v>0</v>
      </c>
      <c r="K168" s="21" t="e">
        <v>#N/A</v>
      </c>
      <c r="L168" s="22" t="e">
        <v>#N/A</v>
      </c>
      <c r="M168"/>
      <c r="N168" s="89" t="s">
        <v>142</v>
      </c>
      <c r="O168" s="351"/>
      <c r="P168" s="347"/>
      <c r="Q168" s="347"/>
      <c r="R168" s="347"/>
    </row>
    <row r="169" spans="2:23" x14ac:dyDescent="0.25">
      <c r="B169" s="345" t="s">
        <v>100</v>
      </c>
      <c r="C169" s="346"/>
      <c r="D169" s="21">
        <v>-0.25</v>
      </c>
      <c r="E169" s="21">
        <v>-0.25</v>
      </c>
      <c r="F169" s="21">
        <v>-0.25</v>
      </c>
      <c r="G169" s="21">
        <v>-0.25</v>
      </c>
      <c r="H169" s="21">
        <v>-0.25</v>
      </c>
      <c r="I169" s="21">
        <v>-0.25</v>
      </c>
      <c r="J169" s="21">
        <v>-0.25</v>
      </c>
      <c r="K169" s="21" t="e">
        <v>#N/A</v>
      </c>
      <c r="L169" s="22" t="e">
        <v>#N/A</v>
      </c>
      <c r="M169"/>
      <c r="N169" s="89" t="s">
        <v>249</v>
      </c>
      <c r="O169" s="348"/>
      <c r="P169" s="352"/>
      <c r="Q169" s="352"/>
      <c r="R169" s="352"/>
    </row>
    <row r="170" spans="2:23" x14ac:dyDescent="0.25">
      <c r="B170" s="345" t="s">
        <v>248</v>
      </c>
      <c r="C170" s="346"/>
      <c r="D170" s="21">
        <v>0</v>
      </c>
      <c r="E170" s="21">
        <v>0</v>
      </c>
      <c r="F170" s="21">
        <v>0</v>
      </c>
      <c r="G170" s="21">
        <v>0</v>
      </c>
      <c r="H170" s="21">
        <v>0</v>
      </c>
      <c r="I170" s="21">
        <v>0</v>
      </c>
      <c r="J170" s="21">
        <v>0</v>
      </c>
      <c r="K170" s="21">
        <v>0</v>
      </c>
      <c r="L170" s="22" t="e">
        <v>#N/A</v>
      </c>
      <c r="M170"/>
      <c r="N170" s="89" t="s">
        <v>144</v>
      </c>
      <c r="O170" s="351"/>
      <c r="P170" s="347"/>
      <c r="Q170" s="347"/>
      <c r="R170" s="347"/>
    </row>
    <row r="171" spans="2:23" x14ac:dyDescent="0.25">
      <c r="B171" s="345" t="s">
        <v>212</v>
      </c>
      <c r="C171" s="346"/>
      <c r="D171" s="21">
        <v>0</v>
      </c>
      <c r="E171" s="21">
        <v>0</v>
      </c>
      <c r="F171" s="21">
        <v>0</v>
      </c>
      <c r="G171" s="21">
        <v>0</v>
      </c>
      <c r="H171" s="21">
        <v>0</v>
      </c>
      <c r="I171" s="21">
        <v>0</v>
      </c>
      <c r="J171" s="21">
        <v>0</v>
      </c>
      <c r="K171" s="21">
        <v>0</v>
      </c>
      <c r="L171" s="22" t="e">
        <v>#N/A</v>
      </c>
      <c r="M171"/>
      <c r="N171" s="89" t="s">
        <v>147</v>
      </c>
    </row>
    <row r="172" spans="2:23" ht="15.75" thickBot="1" x14ac:dyDescent="0.3">
      <c r="B172" s="345" t="s">
        <v>177</v>
      </c>
      <c r="C172" s="346"/>
      <c r="D172" s="21">
        <v>0</v>
      </c>
      <c r="E172" s="21">
        <v>0</v>
      </c>
      <c r="F172" s="21">
        <v>0</v>
      </c>
      <c r="G172" s="21">
        <v>0</v>
      </c>
      <c r="H172" s="21">
        <v>0</v>
      </c>
      <c r="I172" s="21">
        <v>0</v>
      </c>
      <c r="J172" s="21">
        <v>0</v>
      </c>
      <c r="K172" s="21">
        <v>0</v>
      </c>
      <c r="L172" s="22" t="e">
        <v>#N/A</v>
      </c>
      <c r="M172"/>
      <c r="N172" s="89" t="s">
        <v>252</v>
      </c>
      <c r="O172" s="99"/>
    </row>
    <row r="173" spans="2:23" x14ac:dyDescent="0.25">
      <c r="B173" s="422" t="s">
        <v>143</v>
      </c>
      <c r="C173" s="423"/>
      <c r="D173" s="423"/>
      <c r="E173" s="423"/>
      <c r="F173" s="423"/>
      <c r="G173" s="423"/>
      <c r="H173" s="423"/>
      <c r="I173" s="423"/>
      <c r="J173" s="423"/>
      <c r="K173" s="423"/>
      <c r="L173" s="424"/>
      <c r="M173"/>
      <c r="N173" s="89" t="s">
        <v>150</v>
      </c>
      <c r="O173" s="89" t="s">
        <v>176</v>
      </c>
    </row>
    <row r="174" spans="2:23" x14ac:dyDescent="0.25">
      <c r="B174" s="343" t="s">
        <v>230</v>
      </c>
      <c r="C174" s="344"/>
      <c r="D174" s="21">
        <v>-0.375</v>
      </c>
      <c r="E174" s="21">
        <v>-0.375</v>
      </c>
      <c r="F174" s="21">
        <v>-0.375</v>
      </c>
      <c r="G174" s="21">
        <v>-0.375</v>
      </c>
      <c r="H174" s="21">
        <v>-0.5</v>
      </c>
      <c r="I174" s="21">
        <v>-0.5</v>
      </c>
      <c r="J174" s="21">
        <v>-0.5</v>
      </c>
      <c r="K174" s="21" t="e">
        <v>#N/A</v>
      </c>
      <c r="L174" s="22" t="e">
        <v>#N/A</v>
      </c>
      <c r="M174"/>
      <c r="N174" s="99" t="s">
        <v>211</v>
      </c>
      <c r="O174" s="349" t="s">
        <v>52</v>
      </c>
      <c r="P174" s="350" t="s">
        <v>50</v>
      </c>
      <c r="Q174" s="350" t="s">
        <v>640</v>
      </c>
      <c r="R174" s="350" t="s">
        <v>641</v>
      </c>
    </row>
    <row r="175" spans="2:23" x14ac:dyDescent="0.25">
      <c r="B175" s="343" t="s">
        <v>239</v>
      </c>
      <c r="C175" s="344"/>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8" t="str">
        <f>'DSCR (RT)'!$S$11</f>
        <v>Choose a Selection</v>
      </c>
      <c r="P176" s="348" t="str">
        <f>'DSCR (RT)'!$S$11</f>
        <v>Choose a Selection</v>
      </c>
      <c r="Q176" s="348" t="str">
        <f>'DSCR (RT)'!$S$11</f>
        <v>Choose a Selection</v>
      </c>
      <c r="R176" s="348" t="str">
        <f>'DSCR (RT)'!$S$11</f>
        <v>Choose a Selection</v>
      </c>
    </row>
    <row r="177" spans="2:18" x14ac:dyDescent="0.25">
      <c r="B177" s="343" t="s">
        <v>252</v>
      </c>
      <c r="C177" s="344"/>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8" t="str">
        <f>'DSCR (RT)'!$S$25</f>
        <v>30YR Fixed</v>
      </c>
      <c r="P177" s="348" t="str">
        <f>'DSCR (RT)'!$S$24</f>
        <v>Choose a Selection</v>
      </c>
      <c r="Q177" s="397" t="str">
        <f>'DSCR (RT)'!S32</f>
        <v>No</v>
      </c>
      <c r="R177" s="348" t="str">
        <f>'DSCR (RT)'!$S$19</f>
        <v>Choose a Selection</v>
      </c>
    </row>
    <row r="178" spans="2:18" x14ac:dyDescent="0.25">
      <c r="B178" s="343" t="s">
        <v>135</v>
      </c>
      <c r="C178" s="344"/>
      <c r="D178" s="21">
        <v>0.25</v>
      </c>
      <c r="E178" s="21">
        <v>0.25</v>
      </c>
      <c r="F178" s="21">
        <v>0.25</v>
      </c>
      <c r="G178" s="21">
        <v>0.25</v>
      </c>
      <c r="H178" s="21">
        <v>0.25</v>
      </c>
      <c r="I178" s="21">
        <v>0.25</v>
      </c>
      <c r="J178" s="21">
        <v>0.25</v>
      </c>
      <c r="K178" s="21">
        <v>0.25</v>
      </c>
      <c r="L178" s="22" t="e">
        <v>#N/A</v>
      </c>
      <c r="M178"/>
      <c r="N178" s="89" t="s">
        <v>151</v>
      </c>
    </row>
    <row r="179" spans="2:18" x14ac:dyDescent="0.25">
      <c r="B179" s="343" t="s">
        <v>53</v>
      </c>
      <c r="C179" s="344"/>
      <c r="D179" s="21">
        <v>0</v>
      </c>
      <c r="E179" s="21">
        <v>0</v>
      </c>
      <c r="F179" s="21">
        <v>0</v>
      </c>
      <c r="G179" s="21">
        <v>0</v>
      </c>
      <c r="H179" s="21">
        <v>0</v>
      </c>
      <c r="I179" s="21">
        <v>0</v>
      </c>
      <c r="J179" s="21">
        <v>0</v>
      </c>
      <c r="K179" s="21">
        <v>0</v>
      </c>
      <c r="L179" s="22" t="e">
        <v>#N/A</v>
      </c>
      <c r="M179"/>
      <c r="N179" s="99" t="s">
        <v>157</v>
      </c>
      <c r="O179" s="350" t="s">
        <v>30</v>
      </c>
      <c r="P179" s="350" t="s">
        <v>49</v>
      </c>
      <c r="Q179" s="350" t="s">
        <v>55</v>
      </c>
      <c r="R179" s="350" t="s">
        <v>202</v>
      </c>
    </row>
    <row r="180" spans="2:18" x14ac:dyDescent="0.25">
      <c r="B180" s="343" t="s">
        <v>140</v>
      </c>
      <c r="C180" s="344"/>
      <c r="D180" s="21">
        <v>-0.5</v>
      </c>
      <c r="E180" s="21">
        <v>-0.5</v>
      </c>
      <c r="F180" s="21">
        <v>-0.5</v>
      </c>
      <c r="G180" s="21">
        <v>-0.5</v>
      </c>
      <c r="H180" s="21">
        <v>-0.5</v>
      </c>
      <c r="I180" s="21">
        <v>-0.5</v>
      </c>
      <c r="J180" s="21">
        <v>-0.5</v>
      </c>
      <c r="K180" s="21">
        <v>-0.5</v>
      </c>
      <c r="L180" s="22" t="e">
        <v>#N/A</v>
      </c>
      <c r="M180"/>
      <c r="N180" s="99" t="s">
        <v>160</v>
      </c>
      <c r="O180" s="351">
        <f>IF(OR($O$181="", $O$182="", $O$182="Choose a Selection"),0,
   INDEX($D$163:$L$217,
         MATCH($O$182,$B$163:$B$217,0),
         MATCH($O$181,$D$161:$L$161,0)))</f>
        <v>0</v>
      </c>
      <c r="P180" s="347">
        <f>IF(OR($P$181="", $P$182="", $P$182="Choose a Selection"),0,
   INDEX($D$163:$L$217,
         MATCH($P$182,$B$163:$B$217,0),
         MATCH($P$181,$D$161:$L$161,0)))</f>
        <v>0</v>
      </c>
      <c r="Q180" s="347" t="e">
        <f>IF(OR($Q$181="", $Q$182="", $Q$182="Choose a Selection"),0,
   INDEX($D$163:$L$217,
         MATCH($Q$182,$B$163:$B$217,0),
         MATCH($Q$181,$D$161:$L$161,0)))</f>
        <v>#N/A</v>
      </c>
      <c r="R180" s="347" t="e">
        <f>IF(OR($R$181="", $R$182="", $R$182="Choose a Selection"),0,
   INDEX($D$163:$L$217,
         MATCH($R$182,$B$163:$B$217,0),
         MATCH($R$181,$D$161:$L$161,0)))</f>
        <v>#N/A</v>
      </c>
    </row>
    <row r="181" spans="2:18" x14ac:dyDescent="0.25">
      <c r="B181" s="343" t="s">
        <v>142</v>
      </c>
      <c r="C181" s="344"/>
      <c r="D181" s="21">
        <v>0.25</v>
      </c>
      <c r="E181" s="21">
        <v>0.25</v>
      </c>
      <c r="F181" s="21">
        <v>0.25</v>
      </c>
      <c r="G181" s="21">
        <v>0.25</v>
      </c>
      <c r="H181" s="21">
        <v>0.25</v>
      </c>
      <c r="I181" s="21">
        <v>0.25</v>
      </c>
      <c r="J181" s="21">
        <v>0.25</v>
      </c>
      <c r="K181" s="21">
        <v>0.25</v>
      </c>
      <c r="L181" s="22" t="e">
        <v>#N/A</v>
      </c>
      <c r="M181"/>
      <c r="N181" s="99" t="s">
        <v>222</v>
      </c>
      <c r="O181" s="348" t="str">
        <f>'DSCR (RT)'!$S$11</f>
        <v>Choose a Selection</v>
      </c>
      <c r="P181" s="352" t="str">
        <f>'DSCR (RT)'!$S$11</f>
        <v>Choose a Selection</v>
      </c>
      <c r="Q181" s="352" t="str">
        <f>'DSCR (RT)'!$S$11</f>
        <v>Choose a Selection</v>
      </c>
      <c r="R181" s="352" t="str">
        <f>'DSCR (RT)'!$S$11</f>
        <v>Choose a Selection</v>
      </c>
    </row>
    <row r="182" spans="2:18" x14ac:dyDescent="0.25">
      <c r="B182" s="343" t="s">
        <v>144</v>
      </c>
      <c r="C182" s="344"/>
      <c r="D182" s="21">
        <v>-0.5</v>
      </c>
      <c r="E182" s="21">
        <v>-0.5</v>
      </c>
      <c r="F182" s="21">
        <v>-0.5</v>
      </c>
      <c r="G182" s="21">
        <v>-0.5</v>
      </c>
      <c r="H182" s="21">
        <v>-0.5</v>
      </c>
      <c r="I182" s="21">
        <v>-0.5</v>
      </c>
      <c r="J182" s="21">
        <v>-0.5</v>
      </c>
      <c r="K182" s="21">
        <v>-0.5</v>
      </c>
      <c r="L182" s="22" t="e">
        <v>#N/A</v>
      </c>
      <c r="N182" s="99" t="s">
        <v>231</v>
      </c>
      <c r="O182" s="351" t="str">
        <f>'DSCR (RT)'!S14</f>
        <v>Choose a Selection</v>
      </c>
      <c r="P182" s="347" t="str">
        <f>'DSCR (RT)'!$S$23</f>
        <v>Choose a Selection</v>
      </c>
      <c r="Q182" s="347" t="str">
        <f>'DSCR (RT)'!$S$26</f>
        <v>Escrow Not Waived</v>
      </c>
      <c r="R182" s="347" t="str">
        <f>'DSCR (RT)'!$S$30</f>
        <v>30 Day</v>
      </c>
    </row>
    <row r="183" spans="2:18" x14ac:dyDescent="0.25">
      <c r="B183" s="343" t="s">
        <v>147</v>
      </c>
      <c r="C183" s="344"/>
      <c r="D183" s="21">
        <v>0.25</v>
      </c>
      <c r="E183" s="21">
        <v>0.25</v>
      </c>
      <c r="F183" s="21">
        <v>0.25</v>
      </c>
      <c r="G183" s="21">
        <v>0.25</v>
      </c>
      <c r="H183" s="21">
        <v>0.25</v>
      </c>
      <c r="I183" s="21">
        <v>0.25</v>
      </c>
      <c r="J183" s="21">
        <v>0.25</v>
      </c>
      <c r="K183" s="21">
        <v>0.25</v>
      </c>
      <c r="L183" s="22" t="e">
        <v>#N/A</v>
      </c>
      <c r="N183" s="99" t="s">
        <v>212</v>
      </c>
    </row>
    <row r="184" spans="2:18" x14ac:dyDescent="0.25">
      <c r="B184" s="343" t="s">
        <v>150</v>
      </c>
      <c r="C184" s="344"/>
      <c r="D184" s="21">
        <v>-0.5</v>
      </c>
      <c r="E184" s="21">
        <v>-0.5</v>
      </c>
      <c r="F184" s="21">
        <v>-0.5</v>
      </c>
      <c r="G184" s="21">
        <v>-0.5</v>
      </c>
      <c r="H184" s="21">
        <v>-0.5</v>
      </c>
      <c r="I184" s="21">
        <v>-0.5</v>
      </c>
      <c r="J184" s="21">
        <v>-0.5</v>
      </c>
      <c r="K184" s="21">
        <v>-0.5</v>
      </c>
      <c r="L184" s="22" t="e">
        <v>#N/A</v>
      </c>
      <c r="N184" s="99" t="s">
        <v>99</v>
      </c>
      <c r="O184" s="350" t="s">
        <v>643</v>
      </c>
    </row>
    <row r="185" spans="2:18" x14ac:dyDescent="0.25">
      <c r="B185" s="343" t="s">
        <v>151</v>
      </c>
      <c r="C185" s="344"/>
      <c r="D185" s="593">
        <f>'DSCR (RT)'!H66</f>
        <v>0</v>
      </c>
      <c r="E185" s="593">
        <f>'DSCR (RT)'!I66</f>
        <v>0</v>
      </c>
      <c r="F185" s="593">
        <f>'DSCR (RT)'!J66</f>
        <v>0</v>
      </c>
      <c r="G185" s="593">
        <f>'DSCR (RT)'!K66</f>
        <v>0</v>
      </c>
      <c r="H185" s="593">
        <f>'DSCR (RT)'!L66</f>
        <v>0</v>
      </c>
      <c r="I185" s="593">
        <f>'DSCR (RT)'!M66</f>
        <v>0</v>
      </c>
      <c r="J185" s="593">
        <f>'DSCR (RT)'!N66</f>
        <v>0</v>
      </c>
      <c r="K185" s="593" t="e">
        <f>'DSCR (RT)'!O66</f>
        <v>#N/A</v>
      </c>
      <c r="L185" s="22" t="e">
        <v>#N/A</v>
      </c>
      <c r="N185" s="99" t="s">
        <v>100</v>
      </c>
      <c r="O185" s="351">
        <f>IF(OR($O$186="", $O$187="", $O$187="Choose a Selection"),0,INDEX($D$163:$L$217,MATCH($O$187,$B$163:$B$217,0),MATCH($O$186,$D$161:$L$161,0)))</f>
        <v>0</v>
      </c>
    </row>
    <row r="186" spans="2:18" x14ac:dyDescent="0.25">
      <c r="B186" s="343" t="s">
        <v>56</v>
      </c>
      <c r="C186" s="344"/>
      <c r="D186" s="21">
        <v>0</v>
      </c>
      <c r="E186" s="21">
        <v>0</v>
      </c>
      <c r="F186" s="21">
        <v>0</v>
      </c>
      <c r="G186" s="21">
        <v>0</v>
      </c>
      <c r="H186" s="21">
        <v>0</v>
      </c>
      <c r="I186" s="21">
        <v>0</v>
      </c>
      <c r="J186" s="21">
        <v>0</v>
      </c>
      <c r="K186" s="21">
        <v>0</v>
      </c>
      <c r="L186" s="22" t="e">
        <v>#N/A</v>
      </c>
      <c r="N186" s="99" t="s">
        <v>237</v>
      </c>
      <c r="O186" s="348" t="str">
        <f>'DSCR (RT)'!$S$11</f>
        <v>Choose a Selection</v>
      </c>
    </row>
    <row r="187" spans="2:18" x14ac:dyDescent="0.25">
      <c r="B187" s="343" t="s">
        <v>211</v>
      </c>
      <c r="C187" s="344"/>
      <c r="D187" s="21">
        <v>0</v>
      </c>
      <c r="E187" s="21">
        <v>0</v>
      </c>
      <c r="F187" s="21">
        <v>0</v>
      </c>
      <c r="G187" s="21">
        <v>0</v>
      </c>
      <c r="H187" s="21">
        <v>0</v>
      </c>
      <c r="I187" s="21">
        <v>0</v>
      </c>
      <c r="J187" s="21">
        <v>0</v>
      </c>
      <c r="K187" s="21">
        <v>0</v>
      </c>
      <c r="L187" s="22" t="e">
        <v>#N/A</v>
      </c>
      <c r="N187" s="89" t="s">
        <v>242</v>
      </c>
      <c r="O187" s="351" t="str">
        <f>'DSCR (RT)'!S29</f>
        <v>Choose a Selection</v>
      </c>
    </row>
    <row r="188" spans="2:18" x14ac:dyDescent="0.25">
      <c r="B188" s="343" t="s">
        <v>221</v>
      </c>
      <c r="C188" s="344"/>
      <c r="D188" s="21">
        <v>0</v>
      </c>
      <c r="E188" s="21">
        <v>0</v>
      </c>
      <c r="F188" s="21">
        <v>-0.125</v>
      </c>
      <c r="G188" s="21">
        <v>-0.25</v>
      </c>
      <c r="H188" s="21">
        <v>-0.25</v>
      </c>
      <c r="I188" s="21">
        <v>-0.25</v>
      </c>
      <c r="J188" s="21">
        <v>-0.25</v>
      </c>
      <c r="K188" s="21">
        <v>-0.5</v>
      </c>
      <c r="L188" s="22" t="e">
        <v>#N/A</v>
      </c>
      <c r="N188" s="99" t="s">
        <v>98</v>
      </c>
    </row>
    <row r="189" spans="2:18" x14ac:dyDescent="0.25">
      <c r="B189" s="343" t="s">
        <v>228</v>
      </c>
      <c r="C189" s="344"/>
      <c r="D189" s="21">
        <v>-0.25</v>
      </c>
      <c r="E189" s="21">
        <v>-0.25</v>
      </c>
      <c r="F189" s="21">
        <v>-0.25</v>
      </c>
      <c r="G189" s="21">
        <v>-0.375</v>
      </c>
      <c r="H189" s="21">
        <v>-0.5</v>
      </c>
      <c r="I189" s="21">
        <v>-0.625</v>
      </c>
      <c r="J189" s="21">
        <v>-1</v>
      </c>
      <c r="K189" s="21" t="e">
        <v>#N/A</v>
      </c>
      <c r="L189" s="22" t="e">
        <v>#N/A</v>
      </c>
      <c r="N189" s="99" t="s">
        <v>248</v>
      </c>
    </row>
    <row r="190" spans="2:18" x14ac:dyDescent="0.25">
      <c r="B190" s="343" t="s">
        <v>216</v>
      </c>
      <c r="C190" s="344"/>
      <c r="D190" s="21">
        <v>0</v>
      </c>
      <c r="E190" s="21">
        <v>0</v>
      </c>
      <c r="F190" s="21">
        <v>0</v>
      </c>
      <c r="G190" s="21">
        <v>0</v>
      </c>
      <c r="H190" s="21">
        <v>0</v>
      </c>
      <c r="I190" s="21">
        <v>0</v>
      </c>
      <c r="J190" s="21">
        <v>0</v>
      </c>
      <c r="K190" s="21">
        <v>0</v>
      </c>
      <c r="L190" s="22" t="e">
        <v>#N/A</v>
      </c>
      <c r="N190" s="89" t="s">
        <v>195</v>
      </c>
    </row>
    <row r="191" spans="2:18" x14ac:dyDescent="0.25">
      <c r="B191" s="343" t="s">
        <v>157</v>
      </c>
      <c r="C191" s="344"/>
      <c r="D191" s="593">
        <f>'DSCR (RT)'!H67</f>
        <v>-2</v>
      </c>
      <c r="E191" s="593">
        <f>'DSCR (RT)'!I67</f>
        <v>-2</v>
      </c>
      <c r="F191" s="593">
        <f>'DSCR (RT)'!J67</f>
        <v>-2</v>
      </c>
      <c r="G191" s="593">
        <f>'DSCR (RT)'!K67</f>
        <v>-2</v>
      </c>
      <c r="H191" s="593">
        <f>'DSCR (RT)'!L67</f>
        <v>-2</v>
      </c>
      <c r="I191" s="593">
        <f>'DSCR (RT)'!M67</f>
        <v>-2.5</v>
      </c>
      <c r="J191" s="593" t="e">
        <f>'DSCR (RT)'!N67</f>
        <v>#N/A</v>
      </c>
      <c r="K191" s="593" t="e">
        <f>'DSCR (RT)'!O67</f>
        <v>#N/A</v>
      </c>
      <c r="L191" s="22" t="e">
        <v>#N/A</v>
      </c>
    </row>
    <row r="192" spans="2:18" x14ac:dyDescent="0.25">
      <c r="B192" s="343" t="s">
        <v>160</v>
      </c>
      <c r="C192" s="344"/>
      <c r="D192" s="21">
        <v>-1.5</v>
      </c>
      <c r="E192" s="21">
        <v>-1.5</v>
      </c>
      <c r="F192" s="21">
        <v>-1.5</v>
      </c>
      <c r="G192" s="21">
        <v>-1.5</v>
      </c>
      <c r="H192" s="21">
        <v>-1.5</v>
      </c>
      <c r="I192" s="21">
        <v>-1.75</v>
      </c>
      <c r="J192" s="21" t="e">
        <v>#N/A</v>
      </c>
      <c r="K192" s="21" t="e">
        <v>#N/A</v>
      </c>
      <c r="L192" s="22" t="e">
        <v>#N/A</v>
      </c>
      <c r="N192"/>
      <c r="O192"/>
    </row>
    <row r="193" spans="2:16" x14ac:dyDescent="0.25">
      <c r="B193" s="343" t="s">
        <v>222</v>
      </c>
      <c r="C193" s="344"/>
      <c r="D193" s="21">
        <v>0</v>
      </c>
      <c r="E193" s="21">
        <v>0</v>
      </c>
      <c r="F193" s="21">
        <v>0</v>
      </c>
      <c r="G193" s="21">
        <v>0</v>
      </c>
      <c r="H193" s="21">
        <v>0</v>
      </c>
      <c r="I193" s="21">
        <v>0</v>
      </c>
      <c r="J193" s="21">
        <v>0</v>
      </c>
      <c r="K193" s="21">
        <v>0</v>
      </c>
      <c r="L193" s="22" t="e">
        <v>#N/A</v>
      </c>
      <c r="N193"/>
      <c r="O193"/>
    </row>
    <row r="194" spans="2:16" x14ac:dyDescent="0.25">
      <c r="B194" s="343" t="s">
        <v>231</v>
      </c>
      <c r="C194" s="344"/>
      <c r="D194" s="21">
        <v>0</v>
      </c>
      <c r="E194" s="21">
        <v>0</v>
      </c>
      <c r="F194" s="21">
        <v>0</v>
      </c>
      <c r="G194" s="21">
        <v>0</v>
      </c>
      <c r="H194" s="21">
        <v>0</v>
      </c>
      <c r="I194" s="21">
        <v>0</v>
      </c>
      <c r="J194" s="21">
        <v>0</v>
      </c>
      <c r="K194" s="21">
        <v>0</v>
      </c>
      <c r="L194" s="22" t="e">
        <v>#N/A</v>
      </c>
      <c r="N194"/>
      <c r="O194"/>
    </row>
    <row r="195" spans="2:16" x14ac:dyDescent="0.25">
      <c r="B195" s="343" t="s">
        <v>69</v>
      </c>
      <c r="C195" s="344"/>
      <c r="D195" s="21">
        <v>-0.5</v>
      </c>
      <c r="E195" s="21">
        <v>-0.5</v>
      </c>
      <c r="F195" s="21">
        <v>-0.5</v>
      </c>
      <c r="G195" s="21">
        <v>-0.5</v>
      </c>
      <c r="H195" s="21">
        <v>-0.5</v>
      </c>
      <c r="I195" s="21">
        <v>-0.5</v>
      </c>
      <c r="J195" s="21">
        <v>-0.5</v>
      </c>
      <c r="K195" s="21">
        <v>-0.5</v>
      </c>
      <c r="L195" s="22" t="e">
        <v>#N/A</v>
      </c>
      <c r="N195"/>
      <c r="O195"/>
      <c r="P195"/>
    </row>
    <row r="196" spans="2:16" x14ac:dyDescent="0.25">
      <c r="B196" s="343" t="s">
        <v>255</v>
      </c>
      <c r="C196" s="344"/>
      <c r="D196" s="21">
        <v>0</v>
      </c>
      <c r="E196" s="21">
        <v>0</v>
      </c>
      <c r="F196" s="21">
        <v>0</v>
      </c>
      <c r="G196" s="21">
        <v>0</v>
      </c>
      <c r="H196" s="21">
        <v>0</v>
      </c>
      <c r="I196" s="21">
        <v>0</v>
      </c>
      <c r="J196" s="21">
        <v>0</v>
      </c>
      <c r="K196" s="21">
        <v>0</v>
      </c>
      <c r="L196" s="22" t="e">
        <v>#N/A</v>
      </c>
      <c r="N196"/>
      <c r="O196"/>
      <c r="P196"/>
    </row>
    <row r="197" spans="2:16" x14ac:dyDescent="0.25">
      <c r="B197" s="343" t="s">
        <v>258</v>
      </c>
      <c r="C197" s="344"/>
      <c r="D197" s="21">
        <v>0</v>
      </c>
      <c r="E197" s="21">
        <v>0</v>
      </c>
      <c r="F197" s="21">
        <v>0</v>
      </c>
      <c r="G197" s="21">
        <v>0</v>
      </c>
      <c r="H197" s="21">
        <v>0</v>
      </c>
      <c r="I197" s="21">
        <v>0</v>
      </c>
      <c r="J197" s="21">
        <v>0</v>
      </c>
      <c r="K197" s="21">
        <v>0</v>
      </c>
      <c r="L197" s="22" t="e">
        <v>#N/A</v>
      </c>
      <c r="N197"/>
      <c r="O197"/>
      <c r="P197"/>
    </row>
    <row r="198" spans="2:16" x14ac:dyDescent="0.25">
      <c r="B198" s="343" t="s">
        <v>261</v>
      </c>
      <c r="C198" s="344"/>
      <c r="D198" s="21">
        <v>0</v>
      </c>
      <c r="E198" s="21">
        <v>0</v>
      </c>
      <c r="F198" s="21">
        <v>0</v>
      </c>
      <c r="G198" s="21">
        <v>0</v>
      </c>
      <c r="H198" s="21">
        <v>0</v>
      </c>
      <c r="I198" s="21">
        <v>0</v>
      </c>
      <c r="J198" s="21">
        <v>0</v>
      </c>
      <c r="K198" s="21">
        <v>0</v>
      </c>
      <c r="L198" s="22" t="e">
        <v>#N/A</v>
      </c>
      <c r="N198"/>
      <c r="O198"/>
      <c r="P198"/>
    </row>
    <row r="199" spans="2:16" x14ac:dyDescent="0.25">
      <c r="B199" s="343" t="s">
        <v>264</v>
      </c>
      <c r="C199" s="344"/>
      <c r="D199" s="21">
        <v>0</v>
      </c>
      <c r="E199" s="21">
        <v>0</v>
      </c>
      <c r="F199" s="21">
        <v>0</v>
      </c>
      <c r="G199" s="21">
        <v>0</v>
      </c>
      <c r="H199" s="21">
        <v>0</v>
      </c>
      <c r="I199" s="21">
        <v>0</v>
      </c>
      <c r="J199" s="21">
        <v>0</v>
      </c>
      <c r="K199" s="21">
        <v>0</v>
      </c>
      <c r="L199" s="22" t="e">
        <v>#N/A</v>
      </c>
    </row>
    <row r="200" spans="2:16" x14ac:dyDescent="0.25">
      <c r="B200" s="343" t="s">
        <v>218</v>
      </c>
      <c r="C200" s="344"/>
      <c r="D200" s="21">
        <v>0</v>
      </c>
      <c r="E200" s="21">
        <v>0</v>
      </c>
      <c r="F200" s="21">
        <v>0</v>
      </c>
      <c r="G200" s="21">
        <v>0</v>
      </c>
      <c r="H200" s="21">
        <v>0</v>
      </c>
      <c r="I200" s="21">
        <v>0</v>
      </c>
      <c r="J200" s="21">
        <v>0</v>
      </c>
      <c r="K200" s="21">
        <v>0</v>
      </c>
      <c r="L200" s="22" t="e">
        <v>#N/A</v>
      </c>
    </row>
    <row r="201" spans="2:16" x14ac:dyDescent="0.25">
      <c r="B201" s="343" t="s">
        <v>226</v>
      </c>
      <c r="C201" s="344"/>
      <c r="D201" s="21">
        <v>0</v>
      </c>
      <c r="E201" s="21">
        <v>0</v>
      </c>
      <c r="F201" s="21">
        <v>0</v>
      </c>
      <c r="G201" s="21">
        <v>0</v>
      </c>
      <c r="H201" s="21">
        <v>0</v>
      </c>
      <c r="I201" s="21">
        <v>0</v>
      </c>
      <c r="J201" s="21">
        <v>0</v>
      </c>
      <c r="K201" s="21">
        <v>0</v>
      </c>
      <c r="L201" s="22" t="e">
        <v>#N/A</v>
      </c>
    </row>
    <row r="202" spans="2:16" x14ac:dyDescent="0.25">
      <c r="B202" s="343" t="s">
        <v>234</v>
      </c>
      <c r="C202" s="344"/>
      <c r="D202" s="21">
        <v>0</v>
      </c>
      <c r="E202" s="21">
        <v>0</v>
      </c>
      <c r="F202" s="21">
        <v>0</v>
      </c>
      <c r="G202" s="21">
        <v>0</v>
      </c>
      <c r="H202" s="21">
        <v>0</v>
      </c>
      <c r="I202" s="21">
        <v>0</v>
      </c>
      <c r="J202" s="21">
        <v>0</v>
      </c>
      <c r="K202" s="21">
        <v>0</v>
      </c>
      <c r="L202" s="22" t="e">
        <v>#N/A</v>
      </c>
    </row>
    <row r="203" spans="2:16" x14ac:dyDescent="0.25">
      <c r="B203" s="343" t="s">
        <v>240</v>
      </c>
      <c r="C203" s="344"/>
      <c r="D203" s="21">
        <v>0</v>
      </c>
      <c r="E203" s="21">
        <v>0</v>
      </c>
      <c r="F203" s="21">
        <v>0</v>
      </c>
      <c r="G203" s="21">
        <v>0</v>
      </c>
      <c r="H203" s="21">
        <v>0</v>
      </c>
      <c r="I203" s="21">
        <v>0</v>
      </c>
      <c r="J203" s="21">
        <v>0</v>
      </c>
      <c r="K203" s="21">
        <v>0</v>
      </c>
      <c r="L203" s="22" t="e">
        <v>#N/A</v>
      </c>
    </row>
    <row r="204" spans="2:16" x14ac:dyDescent="0.25">
      <c r="B204" s="343" t="s">
        <v>244</v>
      </c>
      <c r="C204" s="344"/>
      <c r="D204" s="21">
        <v>0</v>
      </c>
      <c r="E204" s="21">
        <v>0</v>
      </c>
      <c r="F204" s="21">
        <v>0</v>
      </c>
      <c r="G204" s="21">
        <v>0</v>
      </c>
      <c r="H204" s="21">
        <v>0</v>
      </c>
      <c r="I204" s="21">
        <v>0</v>
      </c>
      <c r="J204" s="21">
        <v>0</v>
      </c>
      <c r="K204" s="21">
        <v>0</v>
      </c>
      <c r="L204" s="22" t="e">
        <v>#N/A</v>
      </c>
    </row>
    <row r="205" spans="2:16" x14ac:dyDescent="0.25">
      <c r="B205" s="343" t="s">
        <v>246</v>
      </c>
      <c r="C205" s="344"/>
      <c r="D205" s="21">
        <v>0</v>
      </c>
      <c r="E205" s="21">
        <v>0</v>
      </c>
      <c r="F205" s="21">
        <v>0</v>
      </c>
      <c r="G205" s="21">
        <v>0</v>
      </c>
      <c r="H205" s="21">
        <v>0</v>
      </c>
      <c r="I205" s="21">
        <v>0</v>
      </c>
      <c r="J205" s="21">
        <v>0</v>
      </c>
      <c r="K205" s="21">
        <v>0</v>
      </c>
      <c r="L205" s="22" t="e">
        <v>#N/A</v>
      </c>
    </row>
    <row r="206" spans="2:16" x14ac:dyDescent="0.25">
      <c r="B206" s="343" t="s">
        <v>250</v>
      </c>
      <c r="C206" s="344"/>
      <c r="D206" s="21">
        <v>0</v>
      </c>
      <c r="E206" s="21">
        <v>0</v>
      </c>
      <c r="F206" s="21">
        <v>0</v>
      </c>
      <c r="G206" s="21">
        <v>0</v>
      </c>
      <c r="H206" s="21">
        <v>0</v>
      </c>
      <c r="I206" s="21">
        <v>0</v>
      </c>
      <c r="J206" s="21">
        <v>0</v>
      </c>
      <c r="K206" s="21">
        <v>0</v>
      </c>
      <c r="L206" s="22" t="e">
        <v>#N/A</v>
      </c>
    </row>
    <row r="207" spans="2:16" x14ac:dyDescent="0.25">
      <c r="B207" s="343" t="s">
        <v>251</v>
      </c>
      <c r="C207" s="344"/>
      <c r="D207" s="21">
        <v>0</v>
      </c>
      <c r="E207" s="21">
        <v>0</v>
      </c>
      <c r="F207" s="21">
        <v>0</v>
      </c>
      <c r="G207" s="21">
        <v>0</v>
      </c>
      <c r="H207" s="21">
        <v>0</v>
      </c>
      <c r="I207" s="21">
        <v>0</v>
      </c>
      <c r="J207" s="21">
        <v>0</v>
      </c>
      <c r="K207" s="21">
        <v>0</v>
      </c>
      <c r="L207" s="22" t="e">
        <v>#N/A</v>
      </c>
    </row>
    <row r="208" spans="2:16" x14ac:dyDescent="0.25">
      <c r="B208" s="343" t="s">
        <v>187</v>
      </c>
      <c r="C208" s="344"/>
      <c r="D208" s="21">
        <v>-0.25</v>
      </c>
      <c r="E208" s="21">
        <v>-0.25</v>
      </c>
      <c r="F208" s="21">
        <v>-0.25</v>
      </c>
      <c r="G208" s="21">
        <v>-0.25</v>
      </c>
      <c r="H208" s="21">
        <v>-0.25</v>
      </c>
      <c r="I208" s="21">
        <v>-0.25</v>
      </c>
      <c r="J208" s="21">
        <v>-0.25</v>
      </c>
      <c r="K208" s="21">
        <v>-0.25</v>
      </c>
      <c r="L208" s="22" t="e">
        <v>#N/A</v>
      </c>
    </row>
    <row r="209" spans="2:12" x14ac:dyDescent="0.25">
      <c r="B209" s="343" t="s">
        <v>188</v>
      </c>
      <c r="C209" s="344"/>
      <c r="D209" s="21">
        <v>-0.25</v>
      </c>
      <c r="E209" s="21">
        <v>-0.25</v>
      </c>
      <c r="F209" s="21">
        <v>-0.25</v>
      </c>
      <c r="G209" s="21">
        <v>-0.25</v>
      </c>
      <c r="H209" s="21">
        <v>-0.25</v>
      </c>
      <c r="I209" s="21">
        <v>-0.25</v>
      </c>
      <c r="J209" s="21">
        <v>-0.25</v>
      </c>
      <c r="K209" s="21">
        <v>-0.25</v>
      </c>
      <c r="L209" s="21" t="e">
        <v>#N/A</v>
      </c>
    </row>
    <row r="210" spans="2:12" x14ac:dyDescent="0.25">
      <c r="B210" s="343" t="s">
        <v>189</v>
      </c>
      <c r="C210" s="344"/>
      <c r="D210" s="21">
        <v>-0.25</v>
      </c>
      <c r="E210" s="21">
        <v>-0.25</v>
      </c>
      <c r="F210" s="21">
        <v>-0.25</v>
      </c>
      <c r="G210" s="21">
        <v>-0.25</v>
      </c>
      <c r="H210" s="21">
        <v>-0.25</v>
      </c>
      <c r="I210" s="21">
        <v>-0.25</v>
      </c>
      <c r="J210" s="21">
        <v>-0.25</v>
      </c>
      <c r="K210" s="21">
        <v>-0.25</v>
      </c>
      <c r="L210" s="22" t="e">
        <v>#N/A</v>
      </c>
    </row>
    <row r="211" spans="2:12" x14ac:dyDescent="0.25">
      <c r="B211" s="343" t="s">
        <v>191</v>
      </c>
      <c r="C211" s="344"/>
      <c r="D211" s="21">
        <v>-0.25</v>
      </c>
      <c r="E211" s="21">
        <v>-0.25</v>
      </c>
      <c r="F211" s="21">
        <v>-0.25</v>
      </c>
      <c r="G211" s="21">
        <v>-0.25</v>
      </c>
      <c r="H211" s="21">
        <v>-0.25</v>
      </c>
      <c r="I211" s="21">
        <v>-0.25</v>
      </c>
      <c r="J211" s="21">
        <v>-0.25</v>
      </c>
      <c r="K211" s="21">
        <v>-0.25</v>
      </c>
      <c r="L211" s="22" t="e">
        <v>#N/A</v>
      </c>
    </row>
    <row r="212" spans="2:12" x14ac:dyDescent="0.25">
      <c r="B212" s="343" t="s">
        <v>827</v>
      </c>
      <c r="C212" s="344"/>
      <c r="D212" s="21">
        <v>0</v>
      </c>
      <c r="E212" s="21">
        <v>0</v>
      </c>
      <c r="F212" s="21">
        <v>0</v>
      </c>
      <c r="G212" s="21">
        <v>0</v>
      </c>
      <c r="H212" s="21">
        <v>0</v>
      </c>
      <c r="I212" s="21">
        <v>0</v>
      </c>
      <c r="J212" s="21">
        <v>0</v>
      </c>
      <c r="K212" s="21">
        <v>0</v>
      </c>
      <c r="L212" s="22" t="e">
        <v>#N/A</v>
      </c>
    </row>
    <row r="213" spans="2:12" x14ac:dyDescent="0.25">
      <c r="B213" s="343" t="s">
        <v>192</v>
      </c>
      <c r="C213" s="344"/>
      <c r="D213" s="21">
        <v>-0.25</v>
      </c>
      <c r="E213" s="21">
        <v>-0.25</v>
      </c>
      <c r="F213" s="21">
        <v>-0.25</v>
      </c>
      <c r="G213" s="21">
        <v>-0.25</v>
      </c>
      <c r="H213" s="21">
        <v>-0.25</v>
      </c>
      <c r="I213" s="21">
        <v>-0.25</v>
      </c>
      <c r="J213" s="21">
        <v>-0.25</v>
      </c>
      <c r="K213" s="21">
        <v>-0.25</v>
      </c>
      <c r="L213" s="22" t="e">
        <v>#N/A</v>
      </c>
    </row>
    <row r="214" spans="2:12" x14ac:dyDescent="0.25">
      <c r="B214" s="343" t="s">
        <v>193</v>
      </c>
      <c r="C214" s="344"/>
      <c r="D214" s="21">
        <v>-0.25</v>
      </c>
      <c r="E214" s="21">
        <v>-0.25</v>
      </c>
      <c r="F214" s="21">
        <v>-0.25</v>
      </c>
      <c r="G214" s="21">
        <v>-0.25</v>
      </c>
      <c r="H214" s="21">
        <v>-0.25</v>
      </c>
      <c r="I214" s="21">
        <v>-0.25</v>
      </c>
      <c r="J214" s="21">
        <v>-0.25</v>
      </c>
      <c r="K214" s="21">
        <v>-0.25</v>
      </c>
      <c r="L214" s="22" t="e">
        <v>#N/A</v>
      </c>
    </row>
    <row r="215" spans="2:12" x14ac:dyDescent="0.25">
      <c r="B215" s="343" t="s">
        <v>65</v>
      </c>
      <c r="C215" s="344"/>
      <c r="D215" s="21">
        <v>0</v>
      </c>
      <c r="E215" s="21">
        <v>0</v>
      </c>
      <c r="F215" s="21">
        <v>0</v>
      </c>
      <c r="G215" s="21">
        <v>0</v>
      </c>
      <c r="H215" s="21">
        <v>0</v>
      </c>
      <c r="I215" s="21">
        <v>0</v>
      </c>
      <c r="J215" s="21">
        <v>0</v>
      </c>
      <c r="K215" s="21">
        <v>0</v>
      </c>
      <c r="L215" s="22" t="e">
        <v>#N/A</v>
      </c>
    </row>
    <row r="216" spans="2:12" x14ac:dyDescent="0.25">
      <c r="B216" s="343" t="s">
        <v>106</v>
      </c>
      <c r="C216" s="344"/>
      <c r="D216" s="21">
        <v>-0.25</v>
      </c>
      <c r="E216" s="21">
        <v>-0.25</v>
      </c>
      <c r="F216" s="21">
        <v>-0.25</v>
      </c>
      <c r="G216" s="21">
        <v>-0.25</v>
      </c>
      <c r="H216" s="21">
        <v>-0.25</v>
      </c>
      <c r="I216" s="21">
        <v>-0.25</v>
      </c>
      <c r="J216" s="21">
        <v>-0.25</v>
      </c>
      <c r="K216" s="21">
        <v>-0.25</v>
      </c>
      <c r="L216" s="22" t="e">
        <v>#N/A</v>
      </c>
    </row>
    <row r="217" spans="2:12" x14ac:dyDescent="0.25">
      <c r="B217" s="343" t="s">
        <v>111</v>
      </c>
      <c r="C217" s="344"/>
      <c r="D217" s="21">
        <v>-0.5</v>
      </c>
      <c r="E217" s="21">
        <v>-0.5</v>
      </c>
      <c r="F217" s="21">
        <v>-0.5</v>
      </c>
      <c r="G217" s="21">
        <v>-0.5</v>
      </c>
      <c r="H217" s="21">
        <v>-0.5</v>
      </c>
      <c r="I217" s="21">
        <v>-0.5</v>
      </c>
      <c r="J217" s="21">
        <v>-0.5</v>
      </c>
      <c r="K217" s="21">
        <v>-0.5</v>
      </c>
      <c r="L217" s="22"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64" priority="4" operator="containsText" text="n/a">
      <formula>NOT(ISERROR(SEARCH("n/a",B161)))</formula>
    </cfRule>
  </conditionalFormatting>
  <conditionalFormatting sqref="B173">
    <cfRule type="containsText" dxfId="263" priority="3" operator="containsText" text="n/a">
      <formula>NOT(ISERROR(SEARCH("n/a",B173)))</formula>
    </cfRule>
  </conditionalFormatting>
  <conditionalFormatting sqref="D161:L161">
    <cfRule type="containsText" dxfId="262"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1" priority="2" operator="containsText" text="n/a">
      <formula>NOT(ISERROR(SEARCH("n/a",T160)))</formula>
    </cfRule>
  </conditionalFormatting>
  <conditionalFormatting sqref="T159">
    <cfRule type="containsText" dxfId="26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D1" zoomScale="85" zoomScaleNormal="85" workbookViewId="0">
      <selection activeCell="Z1" sqref="Z1"/>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75" t="s">
        <v>202</v>
      </c>
      <c r="O1" s="475" t="s">
        <v>203</v>
      </c>
      <c r="P1" s="475" t="s">
        <v>43</v>
      </c>
      <c r="Q1" s="475" t="s">
        <v>204</v>
      </c>
      <c r="R1" s="517" t="s">
        <v>66</v>
      </c>
      <c r="S1" s="517"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76" t="s">
        <v>31</v>
      </c>
      <c r="O2" s="476" t="s">
        <v>31</v>
      </c>
      <c r="P2" s="476" t="s">
        <v>31</v>
      </c>
      <c r="Q2" s="476" t="s">
        <v>31</v>
      </c>
      <c r="R2" s="476" t="s">
        <v>31</v>
      </c>
      <c r="S2" s="476" t="s">
        <v>31</v>
      </c>
      <c r="T2" s="99" t="s">
        <v>31</v>
      </c>
      <c r="U2" s="99" t="s">
        <v>31</v>
      </c>
      <c r="V2" s="99" t="s">
        <v>31</v>
      </c>
      <c r="W2" s="99" t="s">
        <v>31</v>
      </c>
      <c r="X2"/>
      <c r="Y2" s="516"/>
      <c r="Z2"/>
      <c r="AC2" s="89"/>
      <c r="AD2" s="89"/>
    </row>
    <row r="3" spans="1:31" x14ac:dyDescent="0.25">
      <c r="A3" s="89" t="s">
        <v>834</v>
      </c>
      <c r="B3" s="99" t="s">
        <v>12</v>
      </c>
      <c r="C3" s="99" t="s">
        <v>48</v>
      </c>
      <c r="D3" s="102" t="s">
        <v>209</v>
      </c>
      <c r="E3" s="99" t="s">
        <v>210</v>
      </c>
      <c r="F3" s="99" t="s">
        <v>846</v>
      </c>
      <c r="G3" s="99" t="s">
        <v>840</v>
      </c>
      <c r="H3" s="99" t="s">
        <v>102</v>
      </c>
      <c r="I3" s="99" t="s">
        <v>56</v>
      </c>
      <c r="J3" t="s">
        <v>68</v>
      </c>
      <c r="K3" s="99" t="s">
        <v>212</v>
      </c>
      <c r="L3" s="99" t="s">
        <v>213</v>
      </c>
      <c r="M3" s="99" t="s">
        <v>53</v>
      </c>
      <c r="N3" s="476" t="s">
        <v>214</v>
      </c>
      <c r="O3" s="476" t="s">
        <v>215</v>
      </c>
      <c r="P3" s="476" t="s">
        <v>216</v>
      </c>
      <c r="Q3" s="476" t="s">
        <v>217</v>
      </c>
      <c r="R3" s="476" t="s">
        <v>67</v>
      </c>
      <c r="S3" s="476" t="s">
        <v>67</v>
      </c>
      <c r="T3" s="99" t="s">
        <v>226</v>
      </c>
      <c r="U3" s="89" t="s">
        <v>845</v>
      </c>
      <c r="V3" s="89" t="s">
        <v>34</v>
      </c>
      <c r="W3" s="89" t="s">
        <v>37</v>
      </c>
      <c r="X3"/>
      <c r="Y3" s="516"/>
      <c r="Z3"/>
      <c r="AA3"/>
      <c r="AB3" s="89"/>
      <c r="AC3" s="89"/>
      <c r="AD3" s="89"/>
    </row>
    <row r="4" spans="1:31" x14ac:dyDescent="0.25">
      <c r="A4" s="89" t="s">
        <v>42</v>
      </c>
      <c r="B4" s="99" t="s">
        <v>13</v>
      </c>
      <c r="C4" s="99" t="s">
        <v>28</v>
      </c>
      <c r="D4" s="102"/>
      <c r="E4" s="102"/>
      <c r="F4" s="99" t="s">
        <v>839</v>
      </c>
      <c r="G4" s="89" t="s">
        <v>775</v>
      </c>
      <c r="H4" s="99" t="s">
        <v>107</v>
      </c>
      <c r="I4" s="99" t="s">
        <v>151</v>
      </c>
      <c r="J4" t="s">
        <v>70</v>
      </c>
      <c r="K4" s="89" t="s">
        <v>843</v>
      </c>
      <c r="L4" s="99" t="s">
        <v>97</v>
      </c>
      <c r="M4" s="99"/>
      <c r="N4" s="476" t="s">
        <v>65</v>
      </c>
      <c r="O4" s="476"/>
      <c r="P4" s="102" t="s">
        <v>838</v>
      </c>
      <c r="Q4" s="476" t="s">
        <v>223</v>
      </c>
      <c r="R4" s="518" t="s">
        <v>224</v>
      </c>
      <c r="S4" s="519" t="s">
        <v>225</v>
      </c>
      <c r="T4" s="99" t="s">
        <v>218</v>
      </c>
      <c r="U4" s="89" t="s">
        <v>261</v>
      </c>
      <c r="V4" s="89" t="s">
        <v>166</v>
      </c>
      <c r="W4" s="89" t="s">
        <v>844</v>
      </c>
      <c r="X4"/>
      <c r="Y4" s="391"/>
      <c r="Z4"/>
      <c r="AB4"/>
      <c r="AC4"/>
      <c r="AD4" s="89"/>
    </row>
    <row r="5" spans="1:31" x14ac:dyDescent="0.25">
      <c r="A5" s="89" t="s">
        <v>44</v>
      </c>
      <c r="B5" s="99" t="s">
        <v>14</v>
      </c>
      <c r="C5" s="99"/>
      <c r="D5" s="99"/>
      <c r="E5" s="102"/>
      <c r="F5" s="99"/>
      <c r="G5" s="99" t="s">
        <v>841</v>
      </c>
      <c r="H5" s="99" t="s">
        <v>112</v>
      </c>
      <c r="I5" s="99"/>
      <c r="J5" t="s">
        <v>72</v>
      </c>
      <c r="K5" s="89" t="s">
        <v>847</v>
      </c>
      <c r="L5" s="99" t="s">
        <v>229</v>
      </c>
      <c r="M5" s="99"/>
      <c r="N5" s="476" t="s">
        <v>106</v>
      </c>
      <c r="O5" s="476"/>
      <c r="P5" s="476"/>
      <c r="Q5" s="476" t="s">
        <v>232</v>
      </c>
      <c r="R5" s="520" t="s">
        <v>233</v>
      </c>
      <c r="S5" s="519"/>
      <c r="T5" s="99" t="s">
        <v>827</v>
      </c>
      <c r="U5" s="89"/>
      <c r="V5" s="99"/>
      <c r="W5"/>
      <c r="Y5" s="391"/>
      <c r="Z5"/>
      <c r="AA5"/>
      <c r="AB5"/>
      <c r="AC5" s="101" t="s">
        <v>227</v>
      </c>
      <c r="AD5"/>
      <c r="AE5"/>
    </row>
    <row r="6" spans="1:31" x14ac:dyDescent="0.25">
      <c r="A6" s="99" t="s">
        <v>835</v>
      </c>
      <c r="B6" s="99" t="s">
        <v>15</v>
      </c>
      <c r="C6" s="99"/>
      <c r="E6" s="102"/>
      <c r="F6" s="99"/>
      <c r="G6" s="99" t="s">
        <v>842</v>
      </c>
      <c r="H6" s="99" t="s">
        <v>116</v>
      </c>
      <c r="I6" s="99"/>
      <c r="J6"/>
      <c r="K6" s="99" t="s">
        <v>248</v>
      </c>
      <c r="L6" s="99" t="s">
        <v>238</v>
      </c>
      <c r="M6" s="99"/>
      <c r="N6" s="476"/>
      <c r="O6" s="476"/>
      <c r="P6" s="476"/>
      <c r="Q6" s="99"/>
      <c r="R6" s="99"/>
      <c r="S6" s="106"/>
      <c r="T6" s="99" t="s">
        <v>848</v>
      </c>
      <c r="U6" s="89"/>
      <c r="W6"/>
      <c r="X6"/>
      <c r="Y6"/>
      <c r="AA6"/>
      <c r="AB6"/>
      <c r="AC6" s="101" t="s">
        <v>227</v>
      </c>
      <c r="AD6"/>
      <c r="AE6"/>
    </row>
    <row r="7" spans="1:31" x14ac:dyDescent="0.25">
      <c r="A7" s="99" t="s">
        <v>836</v>
      </c>
      <c r="B7" s="99"/>
      <c r="C7" s="99"/>
      <c r="D7" s="99"/>
      <c r="E7" s="102"/>
      <c r="G7" s="99" t="s">
        <v>86</v>
      </c>
      <c r="H7" s="111" t="s">
        <v>121</v>
      </c>
      <c r="I7" s="99"/>
      <c r="J7"/>
      <c r="K7" s="99"/>
      <c r="L7" s="99"/>
      <c r="M7" s="99"/>
      <c r="N7" s="476"/>
      <c r="O7" s="476"/>
      <c r="P7" s="476"/>
      <c r="Q7" s="99"/>
      <c r="R7" s="92"/>
      <c r="S7"/>
      <c r="T7" s="99" t="s">
        <v>850</v>
      </c>
      <c r="U7" s="99"/>
      <c r="W7"/>
      <c r="X7"/>
      <c r="Y7"/>
      <c r="Z7"/>
      <c r="AA7"/>
      <c r="AB7"/>
      <c r="AC7" s="101" t="s">
        <v>227</v>
      </c>
      <c r="AD7"/>
      <c r="AE7"/>
    </row>
    <row r="8" spans="1:31" x14ac:dyDescent="0.25">
      <c r="A8" s="99" t="s">
        <v>837</v>
      </c>
      <c r="B8" s="99"/>
      <c r="C8" s="99"/>
      <c r="D8" s="99"/>
      <c r="E8" s="99"/>
      <c r="G8" s="99" t="s">
        <v>851</v>
      </c>
      <c r="H8" s="111" t="s">
        <v>125</v>
      </c>
      <c r="I8" s="99"/>
      <c r="J8" s="99"/>
      <c r="K8" s="99"/>
      <c r="L8" s="99"/>
      <c r="M8" s="99"/>
      <c r="N8" s="99"/>
      <c r="O8" s="476"/>
      <c r="P8" s="476"/>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76"/>
      <c r="P9" s="476"/>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76"/>
      <c r="P10" s="476"/>
      <c r="Q10" s="99"/>
      <c r="R10" s="99"/>
      <c r="S10"/>
      <c r="T10" s="99" t="s">
        <v>849</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76"/>
      <c r="P11" s="476"/>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76"/>
      <c r="P12" s="476"/>
      <c r="Q12" s="99"/>
      <c r="R12" s="99"/>
      <c r="S12" s="106"/>
      <c r="T12" s="99"/>
      <c r="U12" s="99"/>
      <c r="V12"/>
      <c r="W12"/>
      <c r="X12"/>
      <c r="Y12"/>
      <c r="Z12"/>
      <c r="AA12"/>
      <c r="AB12"/>
      <c r="AC12" s="101" t="s">
        <v>227</v>
      </c>
      <c r="AD12"/>
    </row>
    <row r="13" spans="1:31" x14ac:dyDescent="0.25">
      <c r="B13" s="99"/>
      <c r="G13" s="99"/>
      <c r="H13" s="89" t="s">
        <v>138</v>
      </c>
      <c r="I13" s="99"/>
      <c r="K13" s="99"/>
      <c r="L13" s="99"/>
      <c r="M13" s="99"/>
      <c r="N13" s="476" t="s">
        <v>111</v>
      </c>
      <c r="O13" s="476"/>
      <c r="P13" s="476"/>
      <c r="Q13" s="99"/>
      <c r="R13" s="99"/>
      <c r="S13" s="106"/>
      <c r="T13" s="99"/>
      <c r="U13"/>
      <c r="V13"/>
      <c r="W13"/>
      <c r="X13"/>
      <c r="Y13"/>
      <c r="Z13"/>
      <c r="AA13"/>
      <c r="AB13"/>
      <c r="AC13" s="101" t="s">
        <v>227</v>
      </c>
    </row>
    <row r="14" spans="1:31" x14ac:dyDescent="0.25">
      <c r="H14" s="89" t="s">
        <v>141</v>
      </c>
      <c r="N14" s="476" t="s">
        <v>243</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22" t="s">
        <v>207</v>
      </c>
      <c r="G19" s="115"/>
      <c r="H19" s="115"/>
      <c r="I19" s="116"/>
      <c r="N19"/>
      <c r="O19" s="116"/>
      <c r="P19" s="116"/>
      <c r="R19" s="114"/>
      <c r="S19" s="101"/>
      <c r="T19" s="99"/>
      <c r="U19" s="114"/>
      <c r="V19" s="114"/>
      <c r="W19" s="114"/>
      <c r="X19" s="114"/>
      <c r="Y19" s="114"/>
      <c r="Z19" s="114"/>
      <c r="AA19" s="114"/>
      <c r="AB19" s="114"/>
    </row>
    <row r="20" spans="1:29" ht="15.75" x14ac:dyDescent="0.25">
      <c r="A20" s="523" t="b" cm="1">
        <f t="array" ref="A20">IF(AND(OR('CoreFlex (RT)'!$O$17=D3),OR('CoreFlex (RT)'!$O$22=J3:J5)),0)</f>
        <v>0</v>
      </c>
      <c r="B20" s="521"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77"/>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77"/>
      <c r="P31" s="477"/>
      <c r="Q31"/>
      <c r="R31"/>
      <c r="S31"/>
      <c r="T31"/>
      <c r="U31"/>
      <c r="V31"/>
      <c r="W31"/>
      <c r="X31"/>
      <c r="Y31"/>
      <c r="Z31"/>
      <c r="AA31"/>
      <c r="AB31"/>
      <c r="AC31" s="101" t="s">
        <v>227</v>
      </c>
    </row>
    <row r="32" spans="1:29" x14ac:dyDescent="0.25">
      <c r="L32"/>
      <c r="O32" s="477"/>
      <c r="P32" s="477"/>
      <c r="Q32"/>
      <c r="R32"/>
      <c r="S32"/>
      <c r="T32"/>
      <c r="U32" s="120"/>
      <c r="V32"/>
      <c r="W32"/>
      <c r="X32"/>
      <c r="Y32" s="120"/>
      <c r="Z32"/>
      <c r="AA32"/>
      <c r="AB32"/>
    </row>
    <row r="33" spans="1:42" x14ac:dyDescent="0.25">
      <c r="F33" s="120"/>
      <c r="L33" s="120"/>
      <c r="O33" s="477"/>
      <c r="P33" s="477"/>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77"/>
      <c r="P34" s="477"/>
      <c r="T34"/>
      <c r="U34" s="89"/>
      <c r="V34" s="89"/>
      <c r="W34" s="89"/>
      <c r="Y34" s="89"/>
      <c r="Z34" s="89"/>
      <c r="AA34" s="89"/>
      <c r="AG34"/>
      <c r="AH34"/>
      <c r="AI34"/>
      <c r="AJ34"/>
      <c r="AK34"/>
      <c r="AL34"/>
      <c r="AM34"/>
      <c r="AN34"/>
      <c r="AO34" s="101"/>
      <c r="AP34" s="101"/>
    </row>
    <row r="35" spans="1:42" x14ac:dyDescent="0.25">
      <c r="A35" s="98" t="s">
        <v>852</v>
      </c>
      <c r="B35" s="558" t="str">
        <f>IF('CoreFlex (RT)'!O21=G8,NA(),"")</f>
        <v/>
      </c>
      <c r="C35" s="99"/>
      <c r="D35" s="99"/>
      <c r="O35" s="477"/>
      <c r="P35" s="477"/>
      <c r="T35"/>
      <c r="U35" s="89"/>
      <c r="V35" s="89"/>
      <c r="W35" s="89"/>
      <c r="Y35" s="89"/>
      <c r="Z35" s="89"/>
      <c r="AA35" s="89"/>
      <c r="AG35"/>
      <c r="AH35"/>
      <c r="AI35"/>
      <c r="AJ35"/>
      <c r="AK35"/>
      <c r="AL35"/>
      <c r="AM35"/>
      <c r="AN35"/>
      <c r="AO35" s="101"/>
      <c r="AP35" s="101"/>
    </row>
    <row r="36" spans="1:42" x14ac:dyDescent="0.25">
      <c r="A36" s="121" t="s">
        <v>853</v>
      </c>
      <c r="B36" s="559" t="str">
        <f>IF(AND('CoreFlex (RT)'!O11=B6,OR('CoreFlex (RT)'!O22='Feed(CoreFlex)'!J5)),NA(),"")</f>
        <v/>
      </c>
      <c r="C36" s="89" t="s">
        <v>854</v>
      </c>
      <c r="D36" s="99"/>
      <c r="J36" s="99"/>
      <c r="K36" s="99"/>
      <c r="L36" s="99"/>
      <c r="O36" s="476"/>
      <c r="P36" s="476"/>
      <c r="Q36" s="99"/>
      <c r="U36" s="89"/>
      <c r="V36" s="89"/>
      <c r="W36" s="89"/>
      <c r="Y36" s="89"/>
      <c r="Z36" s="89"/>
      <c r="AA36" s="89"/>
      <c r="AI36" s="101"/>
      <c r="AJ36" s="101"/>
      <c r="AK36" s="99"/>
      <c r="AN36" s="101"/>
      <c r="AO36" s="101"/>
      <c r="AP36" s="101"/>
    </row>
    <row r="37" spans="1:42" x14ac:dyDescent="0.25">
      <c r="A37" s="121"/>
      <c r="B37" s="558"/>
      <c r="C37" s="99"/>
      <c r="D37" s="99"/>
      <c r="I37"/>
      <c r="J37"/>
      <c r="K37" s="99"/>
      <c r="O37" s="476"/>
      <c r="P37" s="476"/>
      <c r="Q37" s="99"/>
      <c r="U37" s="89"/>
      <c r="W37" s="89"/>
      <c r="Y37" s="89"/>
      <c r="AA37" s="89"/>
      <c r="AG37" s="99"/>
      <c r="AJ37" s="101"/>
      <c r="AK37" s="101"/>
      <c r="AL37" s="101"/>
      <c r="AM37" s="101"/>
      <c r="AN37" s="101"/>
      <c r="AO37" s="101"/>
      <c r="AP37" s="101"/>
    </row>
    <row r="38" spans="1:42" x14ac:dyDescent="0.25">
      <c r="A38" s="98"/>
      <c r="B38" s="559"/>
      <c r="D38" s="99"/>
      <c r="I38" s="99"/>
      <c r="J38" s="99"/>
      <c r="K38" s="99"/>
      <c r="O38" s="476"/>
      <c r="P38" s="476"/>
      <c r="Q38" s="99"/>
      <c r="U38" s="89"/>
      <c r="V38" s="89"/>
      <c r="W38" s="89"/>
      <c r="Y38" s="89"/>
      <c r="Z38" s="89"/>
      <c r="AA38" s="89"/>
      <c r="AH38"/>
      <c r="AI38" s="101"/>
      <c r="AJ38" s="101"/>
      <c r="AK38" s="101"/>
      <c r="AL38"/>
      <c r="AM38"/>
      <c r="AN38"/>
      <c r="AO38" s="101"/>
      <c r="AP38" s="101"/>
    </row>
    <row r="39" spans="1:42" x14ac:dyDescent="0.25">
      <c r="A39" s="110"/>
      <c r="B39" s="558"/>
      <c r="C39" s="99"/>
      <c r="D39" s="99"/>
      <c r="I39" s="99"/>
      <c r="J39" s="99"/>
      <c r="K39" s="99"/>
      <c r="O39" s="476"/>
      <c r="P39" s="476"/>
      <c r="Q39" s="99"/>
      <c r="U39" s="89"/>
      <c r="W39" s="89"/>
      <c r="Y39" s="89"/>
      <c r="AA39" s="89"/>
      <c r="AG39"/>
      <c r="AH39"/>
      <c r="AI39"/>
      <c r="AJ39"/>
      <c r="AK39"/>
      <c r="AL39"/>
      <c r="AM39"/>
      <c r="AN39"/>
      <c r="AO39" s="101"/>
      <c r="AP39" s="101"/>
    </row>
    <row r="40" spans="1:42" x14ac:dyDescent="0.25">
      <c r="A40" s="110"/>
      <c r="B40" s="558"/>
      <c r="C40" s="122"/>
      <c r="D40" s="99"/>
      <c r="E40" s="99"/>
      <c r="I40" s="99"/>
      <c r="J40" s="99"/>
      <c r="L40"/>
      <c r="O40" s="476"/>
      <c r="P40" s="476"/>
      <c r="Q40" s="99"/>
      <c r="U40" s="89"/>
      <c r="W40" s="89"/>
      <c r="Y40" s="89"/>
      <c r="AA40" s="89"/>
      <c r="AH40"/>
      <c r="AI40"/>
      <c r="AJ40"/>
      <c r="AK40"/>
      <c r="AL40"/>
      <c r="AM40"/>
      <c r="AN40"/>
      <c r="AO40" s="101"/>
      <c r="AP40" s="101"/>
    </row>
    <row r="41" spans="1:42" x14ac:dyDescent="0.25">
      <c r="A41" s="123"/>
      <c r="B41" s="558"/>
      <c r="C41" s="122"/>
      <c r="D41" s="99"/>
      <c r="K41"/>
      <c r="L41"/>
      <c r="M41"/>
      <c r="N41"/>
      <c r="O41" s="116"/>
      <c r="P41" s="116"/>
      <c r="Q41" s="99"/>
      <c r="U41" s="89"/>
      <c r="W41" s="89"/>
      <c r="Y41" s="89"/>
      <c r="AA41" s="89"/>
      <c r="AH41"/>
      <c r="AI41"/>
      <c r="AJ41"/>
      <c r="AK41"/>
      <c r="AL41"/>
      <c r="AM41"/>
      <c r="AN41"/>
      <c r="AO41" s="101"/>
      <c r="AP41" s="101"/>
    </row>
    <row r="42" spans="1:42" x14ac:dyDescent="0.25">
      <c r="A42" s="123"/>
      <c r="B42" s="559"/>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59"/>
      <c r="D43" s="99"/>
      <c r="K43"/>
      <c r="L43"/>
      <c r="M43"/>
      <c r="N43"/>
      <c r="O43" s="116"/>
      <c r="P43" s="116"/>
      <c r="Q43" s="99"/>
      <c r="R43"/>
      <c r="S43" s="99"/>
      <c r="U43" s="89"/>
      <c r="W43" s="89"/>
      <c r="Y43" s="89"/>
      <c r="AA43" s="89"/>
      <c r="AG43" s="557"/>
      <c r="AH43"/>
      <c r="AI43"/>
      <c r="AJ43"/>
      <c r="AK43"/>
      <c r="AL43"/>
      <c r="AM43"/>
      <c r="AN43"/>
      <c r="AO43" s="101"/>
      <c r="AP43" s="101"/>
    </row>
    <row r="44" spans="1:42" x14ac:dyDescent="0.25">
      <c r="A44" s="98"/>
      <c r="B44" s="560"/>
      <c r="I44"/>
      <c r="J44"/>
      <c r="K44"/>
      <c r="L44"/>
      <c r="O44" s="116"/>
      <c r="P44" s="116"/>
      <c r="Q44" s="99"/>
      <c r="S44" s="99"/>
      <c r="U44" s="89"/>
      <c r="W44" s="89"/>
      <c r="Y44" s="89"/>
      <c r="AA44" s="89"/>
      <c r="AG44" s="557"/>
      <c r="AH44"/>
      <c r="AI44"/>
      <c r="AJ44"/>
      <c r="AK44"/>
      <c r="AL44"/>
      <c r="AM44"/>
      <c r="AN44"/>
      <c r="AO44" s="101"/>
      <c r="AP44" s="101"/>
    </row>
    <row r="45" spans="1:42" x14ac:dyDescent="0.25">
      <c r="A45" s="98"/>
      <c r="B45" s="559"/>
      <c r="I45"/>
      <c r="J45"/>
      <c r="K45"/>
      <c r="O45" s="116"/>
      <c r="P45" s="116"/>
      <c r="Q45" s="99"/>
      <c r="S45" s="99"/>
      <c r="U45" s="89"/>
      <c r="W45" s="89"/>
      <c r="Y45" s="89"/>
      <c r="AA45" s="89"/>
      <c r="AG45"/>
      <c r="AH45"/>
      <c r="AI45"/>
      <c r="AJ45"/>
      <c r="AK45"/>
      <c r="AL45"/>
      <c r="AM45"/>
      <c r="AN45"/>
      <c r="AO45" s="101"/>
      <c r="AP45" s="101"/>
    </row>
    <row r="46" spans="1:42" x14ac:dyDescent="0.25">
      <c r="A46" s="125" t="s">
        <v>531</v>
      </c>
      <c r="B46" s="561">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51" t="s">
        <v>618</v>
      </c>
      <c r="C59" s="752"/>
      <c r="D59" s="752"/>
      <c r="E59" s="753"/>
      <c r="F59" s="550"/>
      <c r="G59" s="550"/>
      <c r="I59" s="754" t="s">
        <v>618</v>
      </c>
      <c r="J59" s="755"/>
      <c r="K59" s="755"/>
      <c r="L59" s="755"/>
      <c r="O59" s="116"/>
      <c r="P59" s="116"/>
      <c r="Q59" s="99"/>
      <c r="S59" s="101"/>
      <c r="AH59" s="101"/>
      <c r="AJ59" s="101"/>
      <c r="AK59" s="101"/>
      <c r="AL59" s="101"/>
      <c r="AM59" s="101"/>
      <c r="AN59" s="101"/>
      <c r="AO59" s="101"/>
      <c r="AP59" s="101"/>
    </row>
    <row r="60" spans="1:42" ht="15.75" thickBot="1" x14ac:dyDescent="0.3">
      <c r="B60" s="562" t="s">
        <v>621</v>
      </c>
      <c r="C60" s="563" t="s">
        <v>209</v>
      </c>
      <c r="D60" s="563" t="s">
        <v>220</v>
      </c>
      <c r="E60" s="564" t="s">
        <v>176</v>
      </c>
      <c r="F60" s="553"/>
      <c r="G60" s="132" t="s">
        <v>622</v>
      </c>
      <c r="I60" s="133" t="s">
        <v>621</v>
      </c>
      <c r="J60" s="134" t="s">
        <v>209</v>
      </c>
      <c r="K60" s="134" t="s">
        <v>220</v>
      </c>
      <c r="L60" s="554" t="s">
        <v>176</v>
      </c>
      <c r="M60" s="553"/>
      <c r="N60" s="135">
        <v>0</v>
      </c>
      <c r="O60" s="116"/>
      <c r="P60" s="116"/>
      <c r="S60" s="101"/>
      <c r="AG60" s="101"/>
      <c r="AJ60" s="101"/>
      <c r="AK60" s="101"/>
      <c r="AL60" s="101"/>
      <c r="AM60" s="101"/>
      <c r="AN60" s="101"/>
      <c r="AO60" s="101"/>
      <c r="AP60" s="101"/>
    </row>
    <row r="61" spans="1:42" x14ac:dyDescent="0.25">
      <c r="B61" s="548">
        <f>'CoreFlex (RT)'!B11</f>
        <v>8.5</v>
      </c>
      <c r="C61" s="549">
        <f>'CoreFlex (RT)'!C11</f>
        <v>97.5</v>
      </c>
      <c r="D61" s="549"/>
      <c r="E61" s="549"/>
      <c r="F61" s="547"/>
      <c r="G61" s="365" t="e">
        <f>SUM('CoreFlex (RT)'!P12:P35)+B46</f>
        <v>#N/A</v>
      </c>
      <c r="H61" s="570">
        <v>1</v>
      </c>
      <c r="I61" s="141">
        <f t="shared" ref="I61:I83" si="0">B61</f>
        <v>8.5</v>
      </c>
      <c r="J61" s="142" t="e">
        <f t="shared" ref="J61:J83" si="1">C61+$G$61</f>
        <v>#N/A</v>
      </c>
      <c r="K61" s="142"/>
      <c r="L61" s="142"/>
      <c r="M61" s="555"/>
      <c r="N61" s="139" cm="1">
        <f t="array" ref="N61:N83">I61:I83</f>
        <v>8.5</v>
      </c>
      <c r="O61" s="116"/>
      <c r="P61" s="116"/>
      <c r="S61" s="101"/>
      <c r="AH61" s="101"/>
      <c r="AJ61" s="101"/>
      <c r="AK61" s="101"/>
      <c r="AL61" s="101"/>
      <c r="AM61" s="101"/>
      <c r="AN61" s="101"/>
      <c r="AO61" s="101"/>
      <c r="AP61" s="101"/>
    </row>
    <row r="62" spans="1:42" x14ac:dyDescent="0.25">
      <c r="B62" s="144">
        <f>'CoreFlex (RT)'!B12</f>
        <v>8.625</v>
      </c>
      <c r="C62" s="145">
        <f>'CoreFlex (RT)'!C12</f>
        <v>97.875</v>
      </c>
      <c r="D62" s="145"/>
      <c r="E62" s="145"/>
      <c r="F62" s="547"/>
      <c r="G62" s="89" t="s">
        <v>625</v>
      </c>
      <c r="H62" s="570">
        <v>2</v>
      </c>
      <c r="I62" s="147">
        <f t="shared" si="0"/>
        <v>8.625</v>
      </c>
      <c r="J62" s="148" t="e">
        <f t="shared" si="1"/>
        <v>#N/A</v>
      </c>
      <c r="K62" s="148"/>
      <c r="L62" s="148"/>
      <c r="M62" s="555"/>
      <c r="N62" s="139">
        <v>8.625</v>
      </c>
      <c r="O62" s="116"/>
      <c r="P62" s="116"/>
      <c r="S62" s="101"/>
      <c r="AH62" s="101"/>
      <c r="AJ62" s="101"/>
      <c r="AK62" s="101"/>
      <c r="AL62" s="101"/>
      <c r="AM62" s="101"/>
      <c r="AN62" s="101"/>
      <c r="AO62" s="101"/>
      <c r="AP62" s="101"/>
    </row>
    <row r="63" spans="1:42" x14ac:dyDescent="0.25">
      <c r="B63" s="144">
        <f>'CoreFlex (RT)'!B13</f>
        <v>8.75</v>
      </c>
      <c r="C63" s="145">
        <f>'CoreFlex (RT)'!C13</f>
        <v>98.25</v>
      </c>
      <c r="D63" s="145"/>
      <c r="E63" s="145"/>
      <c r="F63" s="547"/>
      <c r="G63" s="132" t="s">
        <v>626</v>
      </c>
      <c r="H63" s="570">
        <v>3</v>
      </c>
      <c r="I63" s="147">
        <f t="shared" si="0"/>
        <v>8.75</v>
      </c>
      <c r="J63" s="148" t="e">
        <f t="shared" si="1"/>
        <v>#N/A</v>
      </c>
      <c r="K63" s="148"/>
      <c r="L63" s="148"/>
      <c r="M63" s="555"/>
      <c r="N63" s="139">
        <v>8.75</v>
      </c>
      <c r="O63" s="116"/>
      <c r="P63" s="116"/>
      <c r="S63" s="101"/>
      <c r="AG63" s="391"/>
      <c r="AH63" s="101"/>
      <c r="AJ63" s="101"/>
      <c r="AK63" s="101"/>
      <c r="AL63" s="101"/>
      <c r="AM63" s="101"/>
      <c r="AN63" s="101"/>
      <c r="AO63" s="101"/>
      <c r="AP63" s="101"/>
    </row>
    <row r="64" spans="1:42" ht="15.75" x14ac:dyDescent="0.25">
      <c r="B64" s="144">
        <f>'CoreFlex (RT)'!B14</f>
        <v>8.875</v>
      </c>
      <c r="C64" s="145">
        <f>'CoreFlex (RT)'!C14</f>
        <v>98.625</v>
      </c>
      <c r="D64" s="145"/>
      <c r="E64" s="145"/>
      <c r="F64" s="547"/>
      <c r="G64" s="139" t="e">
        <f>'CoreFlex (RT)'!P40</f>
        <v>#N/A</v>
      </c>
      <c r="H64" s="570">
        <v>4</v>
      </c>
      <c r="I64" s="147">
        <f t="shared" si="0"/>
        <v>8.875</v>
      </c>
      <c r="J64" s="148" t="e">
        <f t="shared" si="1"/>
        <v>#N/A</v>
      </c>
      <c r="K64" s="148"/>
      <c r="L64" s="148"/>
      <c r="M64" s="555"/>
      <c r="N64" s="139">
        <v>8.875</v>
      </c>
      <c r="O64" s="116"/>
      <c r="P64" s="365"/>
      <c r="S64" s="101"/>
      <c r="Y64" s="120"/>
      <c r="AG64" s="425"/>
      <c r="AH64" s="425"/>
      <c r="AI64" s="425"/>
      <c r="AJ64" s="101"/>
      <c r="AK64" s="101"/>
      <c r="AL64" s="101"/>
      <c r="AM64" s="101"/>
      <c r="AN64" s="101"/>
      <c r="AO64" s="101"/>
      <c r="AP64" s="101"/>
    </row>
    <row r="65" spans="2:48" ht="15.75" x14ac:dyDescent="0.25">
      <c r="B65" s="144">
        <f>'CoreFlex (RT)'!B15</f>
        <v>9</v>
      </c>
      <c r="C65" s="145">
        <f>'CoreFlex (RT)'!C15</f>
        <v>99</v>
      </c>
      <c r="D65" s="145"/>
      <c r="E65" s="145"/>
      <c r="F65" s="547"/>
      <c r="H65" s="570">
        <v>5</v>
      </c>
      <c r="I65" s="147">
        <f t="shared" si="0"/>
        <v>9</v>
      </c>
      <c r="J65" s="148" t="e">
        <f t="shared" si="1"/>
        <v>#N/A</v>
      </c>
      <c r="K65" s="148"/>
      <c r="L65" s="148"/>
      <c r="M65" s="555"/>
      <c r="N65" s="139">
        <v>9</v>
      </c>
      <c r="O65" s="116"/>
      <c r="P65" s="365"/>
      <c r="S65" s="101"/>
      <c r="U65" s="89"/>
      <c r="V65" s="89"/>
      <c r="W65" s="89"/>
      <c r="Y65" s="89"/>
      <c r="Z65" s="89"/>
      <c r="AA65" s="89"/>
      <c r="AG65" s="425"/>
      <c r="AH65" s="425"/>
      <c r="AI65" s="425"/>
      <c r="AJ65" s="101"/>
      <c r="AK65" s="101"/>
      <c r="AL65" s="101"/>
      <c r="AM65" s="101"/>
      <c r="AN65" s="101"/>
      <c r="AO65" s="101"/>
      <c r="AP65" s="101"/>
    </row>
    <row r="66" spans="2:48" ht="15.75" x14ac:dyDescent="0.25">
      <c r="B66" s="144">
        <f>'CoreFlex (RT)'!B16</f>
        <v>9.125</v>
      </c>
      <c r="C66" s="145">
        <f>'CoreFlex (RT)'!C16</f>
        <v>99.375</v>
      </c>
      <c r="D66" s="145"/>
      <c r="E66" s="145"/>
      <c r="F66" s="547"/>
      <c r="H66" s="570">
        <v>6</v>
      </c>
      <c r="I66" s="147">
        <f t="shared" si="0"/>
        <v>9.125</v>
      </c>
      <c r="J66" s="148" t="e">
        <f t="shared" si="1"/>
        <v>#N/A</v>
      </c>
      <c r="K66" s="148"/>
      <c r="L66" s="148"/>
      <c r="M66" s="555"/>
      <c r="N66" s="139">
        <v>9.125</v>
      </c>
      <c r="O66" s="116"/>
      <c r="P66" s="365"/>
      <c r="S66" s="101"/>
      <c r="U66" s="89"/>
      <c r="V66" s="89"/>
      <c r="W66" s="89"/>
      <c r="Y66" s="89"/>
      <c r="Z66" s="89"/>
      <c r="AA66" s="89"/>
      <c r="AG66" s="425"/>
      <c r="AH66" s="425"/>
      <c r="AI66" s="425"/>
      <c r="AJ66" s="101"/>
      <c r="AK66" s="101"/>
      <c r="AL66" s="101"/>
      <c r="AM66" s="101"/>
      <c r="AN66" s="101"/>
      <c r="AO66" s="101"/>
      <c r="AP66" s="101"/>
    </row>
    <row r="67" spans="2:48" ht="15.75" x14ac:dyDescent="0.25">
      <c r="B67" s="144">
        <f>'CoreFlex (RT)'!B17</f>
        <v>9.25</v>
      </c>
      <c r="C67" s="145">
        <f>'CoreFlex (RT)'!C17</f>
        <v>99.75</v>
      </c>
      <c r="D67" s="145"/>
      <c r="E67" s="145"/>
      <c r="F67" s="547"/>
      <c r="H67" s="570">
        <v>7</v>
      </c>
      <c r="I67" s="147">
        <f t="shared" si="0"/>
        <v>9.25</v>
      </c>
      <c r="J67" s="148" t="e">
        <f t="shared" si="1"/>
        <v>#N/A</v>
      </c>
      <c r="K67" s="148"/>
      <c r="L67" s="148"/>
      <c r="M67" s="555"/>
      <c r="N67" s="139">
        <v>9.25</v>
      </c>
      <c r="O67" s="116"/>
      <c r="P67" s="365"/>
      <c r="S67" s="101"/>
      <c r="Y67" s="89"/>
      <c r="Z67" s="89"/>
      <c r="AA67" s="89"/>
      <c r="AG67" s="425"/>
      <c r="AH67" s="425"/>
      <c r="AI67" s="425"/>
      <c r="AJ67" s="101"/>
      <c r="AK67" s="101"/>
      <c r="AL67" s="101"/>
      <c r="AM67" s="101"/>
      <c r="AN67" s="101"/>
      <c r="AO67" s="101"/>
      <c r="AP67" s="101"/>
    </row>
    <row r="68" spans="2:48" ht="15.75" x14ac:dyDescent="0.25">
      <c r="B68" s="144">
        <f>'CoreFlex (RT)'!B18</f>
        <v>9.375</v>
      </c>
      <c r="C68" s="145">
        <f>'CoreFlex (RT)'!C18</f>
        <v>100.125</v>
      </c>
      <c r="D68" s="145"/>
      <c r="E68" s="145"/>
      <c r="F68" s="547"/>
      <c r="G68" s="569" t="s">
        <v>209</v>
      </c>
      <c r="H68" s="570">
        <v>8</v>
      </c>
      <c r="I68" s="147">
        <f t="shared" si="0"/>
        <v>9.375</v>
      </c>
      <c r="J68" s="148" t="e">
        <f t="shared" si="1"/>
        <v>#N/A</v>
      </c>
      <c r="K68" s="148"/>
      <c r="L68" s="148"/>
      <c r="M68" s="555"/>
      <c r="N68" s="139">
        <v>9.375</v>
      </c>
      <c r="O68" s="116"/>
      <c r="P68" s="365"/>
      <c r="S68" s="101"/>
      <c r="U68" s="89"/>
      <c r="V68" s="89"/>
      <c r="W68" s="89"/>
      <c r="Y68" s="89"/>
      <c r="Z68" s="89"/>
      <c r="AA68" s="89"/>
      <c r="AG68" s="425"/>
      <c r="AH68" s="425"/>
      <c r="AI68" s="425"/>
      <c r="AJ68" s="101"/>
      <c r="AK68" s="101"/>
      <c r="AL68" s="101"/>
      <c r="AM68" s="101"/>
      <c r="AN68" s="101"/>
      <c r="AO68" s="101"/>
      <c r="AP68" s="101"/>
    </row>
    <row r="69" spans="2:48" ht="15.75" x14ac:dyDescent="0.25">
      <c r="B69" s="144">
        <f>'CoreFlex (RT)'!B19</f>
        <v>9.5</v>
      </c>
      <c r="C69" s="145">
        <f>'CoreFlex (RT)'!C19</f>
        <v>100.5</v>
      </c>
      <c r="D69" s="145"/>
      <c r="E69" s="145"/>
      <c r="F69" s="547"/>
      <c r="G69" s="116" t="e">
        <f>#REF!</f>
        <v>#REF!</v>
      </c>
      <c r="H69" s="570">
        <v>9</v>
      </c>
      <c r="I69" s="147">
        <f t="shared" si="0"/>
        <v>9.5</v>
      </c>
      <c r="J69" s="148" t="e">
        <f t="shared" si="1"/>
        <v>#N/A</v>
      </c>
      <c r="K69" s="148"/>
      <c r="L69" s="148"/>
      <c r="M69" s="555"/>
      <c r="N69" s="139">
        <v>9.5</v>
      </c>
      <c r="O69" s="116"/>
      <c r="P69" s="365"/>
      <c r="S69" s="101"/>
      <c r="U69" s="89"/>
      <c r="V69" s="89"/>
      <c r="W69" s="89"/>
      <c r="Y69" s="89"/>
      <c r="Z69" s="89"/>
      <c r="AA69" s="89"/>
      <c r="AG69" s="425"/>
      <c r="AH69" s="425"/>
      <c r="AI69" s="425"/>
      <c r="AJ69" s="101"/>
      <c r="AK69" s="101"/>
      <c r="AL69" s="101"/>
      <c r="AM69" s="101"/>
      <c r="AN69" s="101"/>
      <c r="AO69" s="101"/>
      <c r="AP69" s="101"/>
    </row>
    <row r="70" spans="2:48" ht="15.75" x14ac:dyDescent="0.25">
      <c r="B70" s="144">
        <f>'CoreFlex (RT)'!B20</f>
        <v>9.625</v>
      </c>
      <c r="C70" s="145">
        <f>'CoreFlex (RT)'!C20</f>
        <v>100.75</v>
      </c>
      <c r="D70" s="145"/>
      <c r="E70" s="145"/>
      <c r="F70" s="547"/>
      <c r="G70" s="89" t="e">
        <f>IF(#REF!="DSCR 5-8", "DSCR 5-8", "")</f>
        <v>#REF!</v>
      </c>
      <c r="H70" s="570">
        <v>10</v>
      </c>
      <c r="I70" s="147">
        <f t="shared" si="0"/>
        <v>9.625</v>
      </c>
      <c r="J70" s="148" t="e">
        <f t="shared" si="1"/>
        <v>#N/A</v>
      </c>
      <c r="K70" s="148"/>
      <c r="L70" s="148"/>
      <c r="M70" s="555"/>
      <c r="N70" s="139">
        <v>9.625</v>
      </c>
      <c r="O70" s="116"/>
      <c r="P70" s="365"/>
      <c r="S70" s="101"/>
      <c r="U70" s="89"/>
      <c r="V70" s="89"/>
      <c r="W70" s="89"/>
      <c r="Y70" s="89"/>
      <c r="Z70" s="89"/>
      <c r="AA70" s="89"/>
      <c r="AG70" s="425"/>
      <c r="AH70" s="425"/>
      <c r="AI70" s="425"/>
      <c r="AJ70" s="101"/>
      <c r="AK70" s="101"/>
      <c r="AL70" s="101"/>
      <c r="AM70" s="101"/>
      <c r="AN70" s="101"/>
      <c r="AO70" s="101"/>
      <c r="AP70" s="101"/>
    </row>
    <row r="71" spans="2:48" ht="15.75" x14ac:dyDescent="0.25">
      <c r="B71" s="144">
        <f>'CoreFlex (RT)'!B21</f>
        <v>9.75</v>
      </c>
      <c r="C71" s="145">
        <f>'CoreFlex (RT)'!C21</f>
        <v>101</v>
      </c>
      <c r="D71" s="145"/>
      <c r="E71" s="145"/>
      <c r="F71" s="547"/>
      <c r="H71" s="570">
        <v>11</v>
      </c>
      <c r="I71" s="147">
        <f t="shared" si="0"/>
        <v>9.75</v>
      </c>
      <c r="J71" s="148" t="e">
        <f t="shared" si="1"/>
        <v>#N/A</v>
      </c>
      <c r="K71" s="148"/>
      <c r="L71" s="148"/>
      <c r="M71" s="555"/>
      <c r="N71" s="139">
        <v>9.75</v>
      </c>
      <c r="O71" s="116"/>
      <c r="P71" s="365"/>
      <c r="S71" s="101"/>
      <c r="Y71" s="89"/>
      <c r="Z71" s="89"/>
      <c r="AA71" s="89"/>
      <c r="AG71" s="427"/>
      <c r="AH71" s="427"/>
      <c r="AI71" s="427"/>
      <c r="AM71" s="101"/>
      <c r="AN71" s="101"/>
      <c r="AO71" s="101"/>
      <c r="AP71" s="101"/>
      <c r="AQ71" s="101"/>
      <c r="AR71" s="101"/>
      <c r="AS71" s="101"/>
      <c r="AT71" s="101"/>
      <c r="AU71" s="101"/>
      <c r="AV71" s="101"/>
    </row>
    <row r="72" spans="2:48" ht="15.75" x14ac:dyDescent="0.25">
      <c r="B72" s="144">
        <f>'CoreFlex (RT)'!B22</f>
        <v>9.875</v>
      </c>
      <c r="C72" s="145">
        <f>'CoreFlex (RT)'!C22</f>
        <v>101.25</v>
      </c>
      <c r="D72" s="145"/>
      <c r="E72" s="145"/>
      <c r="F72" s="547"/>
      <c r="H72" s="570">
        <v>12</v>
      </c>
      <c r="I72" s="147">
        <f t="shared" si="0"/>
        <v>9.875</v>
      </c>
      <c r="J72" s="148" t="e">
        <f t="shared" si="1"/>
        <v>#N/A</v>
      </c>
      <c r="K72" s="148"/>
      <c r="L72" s="148"/>
      <c r="M72" s="555"/>
      <c r="N72" s="139">
        <v>9.875</v>
      </c>
      <c r="O72" s="116"/>
      <c r="P72" s="116"/>
      <c r="S72" s="101"/>
      <c r="Y72" s="89"/>
      <c r="Z72" s="89"/>
      <c r="AA72" s="89"/>
      <c r="AG72" s="427"/>
      <c r="AH72" s="427"/>
      <c r="AI72" s="427"/>
      <c r="AM72" s="101"/>
      <c r="AN72" s="101"/>
      <c r="AO72" s="101"/>
      <c r="AP72" s="101"/>
      <c r="AQ72" s="101"/>
      <c r="AR72" s="101"/>
      <c r="AS72" s="101"/>
      <c r="AT72" s="101"/>
      <c r="AU72" s="101"/>
      <c r="AV72" s="101"/>
    </row>
    <row r="73" spans="2:48" ht="15.75" x14ac:dyDescent="0.25">
      <c r="B73" s="144">
        <f>'CoreFlex (RT)'!B23</f>
        <v>10</v>
      </c>
      <c r="C73" s="145">
        <f>'CoreFlex (RT)'!C23</f>
        <v>101.5</v>
      </c>
      <c r="D73" s="145"/>
      <c r="E73" s="145"/>
      <c r="F73" s="547"/>
      <c r="G73" s="139"/>
      <c r="H73" s="570">
        <v>13</v>
      </c>
      <c r="I73" s="147">
        <f t="shared" si="0"/>
        <v>10</v>
      </c>
      <c r="J73" s="148" t="e">
        <f t="shared" si="1"/>
        <v>#N/A</v>
      </c>
      <c r="K73" s="148"/>
      <c r="L73" s="148"/>
      <c r="M73" s="555"/>
      <c r="N73" s="139">
        <v>10</v>
      </c>
      <c r="O73" s="116"/>
      <c r="P73" s="116"/>
      <c r="S73" s="101"/>
      <c r="Y73" s="89"/>
      <c r="Z73" s="89"/>
      <c r="AA73" s="89"/>
      <c r="AG73" s="427"/>
      <c r="AH73" s="427"/>
      <c r="AI73" s="427"/>
      <c r="AM73" s="101"/>
      <c r="AN73" s="101"/>
      <c r="AO73" s="101"/>
      <c r="AP73" s="101"/>
      <c r="AQ73" s="101"/>
      <c r="AR73" s="101"/>
      <c r="AS73" s="101"/>
    </row>
    <row r="74" spans="2:48" ht="15.75" x14ac:dyDescent="0.25">
      <c r="B74" s="144">
        <f>'CoreFlex (RT)'!B24</f>
        <v>10.125</v>
      </c>
      <c r="C74" s="145">
        <f>'CoreFlex (RT)'!C24</f>
        <v>101.75</v>
      </c>
      <c r="D74" s="145"/>
      <c r="E74" s="145"/>
      <c r="F74" s="547"/>
      <c r="H74" s="570">
        <v>14</v>
      </c>
      <c r="I74" s="147">
        <f t="shared" si="0"/>
        <v>10.125</v>
      </c>
      <c r="J74" s="148" t="e">
        <f t="shared" si="1"/>
        <v>#N/A</v>
      </c>
      <c r="K74" s="148"/>
      <c r="L74" s="148"/>
      <c r="M74" s="555"/>
      <c r="N74" s="139">
        <v>10.125</v>
      </c>
      <c r="O74" s="116"/>
      <c r="P74" s="116"/>
      <c r="S74" s="101"/>
      <c r="Y74" s="89"/>
      <c r="AA74" s="89"/>
      <c r="AG74" s="427"/>
      <c r="AH74" s="427"/>
      <c r="AI74" s="427"/>
      <c r="AM74" s="101"/>
      <c r="AN74" s="101"/>
      <c r="AO74" s="101"/>
      <c r="AP74" s="101"/>
      <c r="AQ74" s="101"/>
      <c r="AR74" s="101"/>
      <c r="AS74" s="101"/>
    </row>
    <row r="75" spans="2:48" ht="15.75" x14ac:dyDescent="0.25">
      <c r="B75" s="144">
        <f>'CoreFlex (RT)'!B25</f>
        <v>10.25</v>
      </c>
      <c r="C75" s="145">
        <f>'CoreFlex (RT)'!C25</f>
        <v>102</v>
      </c>
      <c r="D75" s="145"/>
      <c r="E75" s="145"/>
      <c r="F75" s="547"/>
      <c r="H75" s="570">
        <v>15</v>
      </c>
      <c r="I75" s="147">
        <f t="shared" si="0"/>
        <v>10.25</v>
      </c>
      <c r="J75" s="148" t="e">
        <f t="shared" si="1"/>
        <v>#N/A</v>
      </c>
      <c r="K75" s="148"/>
      <c r="L75" s="148"/>
      <c r="M75" s="555"/>
      <c r="N75" s="139">
        <v>10.25</v>
      </c>
      <c r="O75" s="116"/>
      <c r="P75" s="116"/>
      <c r="S75" s="101"/>
      <c r="Y75" s="89"/>
      <c r="Z75" s="89"/>
      <c r="AA75" s="89"/>
      <c r="AG75" s="427"/>
      <c r="AH75" s="427"/>
      <c r="AI75" s="427"/>
      <c r="AK75"/>
      <c r="AL75"/>
      <c r="AM75"/>
      <c r="AN75"/>
      <c r="AO75"/>
      <c r="AP75"/>
      <c r="AQ75"/>
      <c r="AR75"/>
      <c r="AS75"/>
      <c r="AT75"/>
      <c r="AU75"/>
      <c r="AV75"/>
    </row>
    <row r="76" spans="2:48" ht="15.75" x14ac:dyDescent="0.25">
      <c r="B76" s="144">
        <f>'CoreFlex (RT)'!B26</f>
        <v>0</v>
      </c>
      <c r="C76" s="145">
        <f>'CoreFlex (RT)'!C26</f>
        <v>0</v>
      </c>
      <c r="D76" s="145"/>
      <c r="E76" s="145"/>
      <c r="F76" s="547"/>
      <c r="G76" s="139"/>
      <c r="H76" s="570">
        <v>16</v>
      </c>
      <c r="I76" s="147">
        <f t="shared" si="0"/>
        <v>0</v>
      </c>
      <c r="J76" s="148" t="e">
        <f t="shared" si="1"/>
        <v>#N/A</v>
      </c>
      <c r="K76" s="148"/>
      <c r="L76" s="148"/>
      <c r="M76" s="555"/>
      <c r="N76" s="139">
        <v>0</v>
      </c>
      <c r="O76" s="116"/>
      <c r="P76" s="116"/>
      <c r="S76" s="101"/>
      <c r="Y76" s="89"/>
      <c r="AA76" s="89"/>
      <c r="AG76" s="427"/>
      <c r="AH76" s="427"/>
      <c r="AI76" s="427"/>
      <c r="AK76"/>
      <c r="AL76"/>
      <c r="AM76"/>
      <c r="AN76"/>
      <c r="AO76"/>
      <c r="AP76"/>
      <c r="AQ76"/>
      <c r="AR76"/>
      <c r="AS76"/>
      <c r="AT76"/>
      <c r="AU76"/>
      <c r="AV76"/>
    </row>
    <row r="77" spans="2:48" ht="15.75" x14ac:dyDescent="0.25">
      <c r="B77" s="144">
        <f>'CoreFlex (RT)'!B27</f>
        <v>0</v>
      </c>
      <c r="C77" s="145">
        <f>'CoreFlex (RT)'!C27</f>
        <v>0</v>
      </c>
      <c r="D77" s="145"/>
      <c r="E77" s="145"/>
      <c r="F77" s="547"/>
      <c r="G77" s="139"/>
      <c r="H77" s="570">
        <v>17</v>
      </c>
      <c r="I77" s="147">
        <f t="shared" si="0"/>
        <v>0</v>
      </c>
      <c r="J77" s="148" t="e">
        <f t="shared" si="1"/>
        <v>#N/A</v>
      </c>
      <c r="K77" s="148"/>
      <c r="L77" s="148"/>
      <c r="M77" s="555"/>
      <c r="N77" s="139">
        <v>0</v>
      </c>
      <c r="O77" s="116"/>
      <c r="P77" s="116"/>
      <c r="S77" s="101"/>
      <c r="Y77" s="89"/>
      <c r="AA77" s="89"/>
      <c r="AG77" s="427"/>
      <c r="AH77" s="427"/>
      <c r="AI77" s="427"/>
      <c r="AK77"/>
      <c r="AL77"/>
      <c r="AM77"/>
      <c r="AN77"/>
      <c r="AO77"/>
      <c r="AP77"/>
      <c r="AQ77"/>
      <c r="AR77"/>
      <c r="AS77"/>
      <c r="AT77"/>
      <c r="AU77"/>
      <c r="AV77"/>
    </row>
    <row r="78" spans="2:48" ht="15.75" x14ac:dyDescent="0.25">
      <c r="B78" s="144">
        <f>'CoreFlex (RT)'!B28</f>
        <v>0</v>
      </c>
      <c r="C78" s="145">
        <f>'CoreFlex (RT)'!C28</f>
        <v>0</v>
      </c>
      <c r="D78" s="145"/>
      <c r="E78" s="145"/>
      <c r="F78" s="547"/>
      <c r="H78" s="570">
        <v>18</v>
      </c>
      <c r="I78" s="152">
        <f t="shared" si="0"/>
        <v>0</v>
      </c>
      <c r="J78" s="153" t="e">
        <f t="shared" si="1"/>
        <v>#N/A</v>
      </c>
      <c r="K78" s="153"/>
      <c r="L78" s="153"/>
      <c r="M78" s="555"/>
      <c r="N78" s="139">
        <v>0</v>
      </c>
      <c r="O78" s="116"/>
      <c r="P78" s="116"/>
      <c r="S78" s="101"/>
      <c r="Y78" s="89"/>
      <c r="AA78" s="89"/>
      <c r="AG78" s="427"/>
      <c r="AH78" s="427"/>
      <c r="AI78" s="427"/>
      <c r="AK78"/>
      <c r="AL78"/>
      <c r="AM78"/>
      <c r="AN78"/>
      <c r="AO78"/>
      <c r="AP78"/>
      <c r="AQ78"/>
      <c r="AR78"/>
      <c r="AS78"/>
      <c r="AT78"/>
      <c r="AU78"/>
      <c r="AV78"/>
    </row>
    <row r="79" spans="2:48" ht="15.75" x14ac:dyDescent="0.25">
      <c r="B79" s="144">
        <f>'CoreFlex (RT)'!B29</f>
        <v>0</v>
      </c>
      <c r="C79" s="145">
        <f>'CoreFlex (RT)'!C29</f>
        <v>0</v>
      </c>
      <c r="D79" s="145"/>
      <c r="E79" s="145"/>
      <c r="F79" s="547"/>
      <c r="H79" s="570">
        <v>19</v>
      </c>
      <c r="I79" s="152">
        <f t="shared" si="0"/>
        <v>0</v>
      </c>
      <c r="J79" s="153" t="e">
        <f t="shared" si="1"/>
        <v>#N/A</v>
      </c>
      <c r="K79" s="153"/>
      <c r="L79" s="153"/>
      <c r="M79" s="555"/>
      <c r="N79" s="139">
        <v>0</v>
      </c>
      <c r="O79" s="116"/>
      <c r="P79" s="116"/>
      <c r="S79" s="101"/>
      <c r="Y79" s="89"/>
      <c r="AA79" s="89"/>
      <c r="AG79" s="427"/>
      <c r="AH79" s="427"/>
      <c r="AI79" s="427"/>
      <c r="AK79"/>
      <c r="AL79"/>
      <c r="AM79"/>
      <c r="AN79"/>
      <c r="AO79"/>
      <c r="AP79"/>
      <c r="AQ79"/>
      <c r="AR79"/>
      <c r="AS79"/>
      <c r="AT79"/>
      <c r="AU79"/>
      <c r="AV79"/>
    </row>
    <row r="80" spans="2:48" ht="15.75" x14ac:dyDescent="0.25">
      <c r="B80" s="144">
        <f>'CoreFlex (RT)'!B30</f>
        <v>0</v>
      </c>
      <c r="C80" s="145">
        <f>'CoreFlex (RT)'!C30</f>
        <v>0</v>
      </c>
      <c r="D80" s="145"/>
      <c r="E80" s="145"/>
      <c r="F80" s="547"/>
      <c r="H80" s="570">
        <v>20</v>
      </c>
      <c r="I80" s="147">
        <f t="shared" si="0"/>
        <v>0</v>
      </c>
      <c r="J80" s="148" t="e">
        <f t="shared" si="1"/>
        <v>#N/A</v>
      </c>
      <c r="K80" s="148"/>
      <c r="L80" s="148"/>
      <c r="M80" s="555"/>
      <c r="N80" s="139">
        <v>0</v>
      </c>
      <c r="O80" s="116"/>
      <c r="P80" s="116"/>
      <c r="S80" s="101"/>
      <c r="Y80" s="89"/>
      <c r="AA80" s="89"/>
      <c r="AG80" s="427"/>
      <c r="AH80" s="427"/>
      <c r="AI80" s="427"/>
      <c r="AK80"/>
      <c r="AL80"/>
      <c r="AM80"/>
      <c r="AN80"/>
      <c r="AO80"/>
      <c r="AP80"/>
      <c r="AQ80"/>
      <c r="AR80"/>
      <c r="AS80"/>
      <c r="AT80"/>
      <c r="AU80"/>
      <c r="AV80"/>
    </row>
    <row r="81" spans="2:48" ht="15.75" x14ac:dyDescent="0.25">
      <c r="B81" s="144">
        <f>'CoreFlex (RT)'!B31</f>
        <v>0</v>
      </c>
      <c r="C81" s="145">
        <f>'CoreFlex (RT)'!C31</f>
        <v>0</v>
      </c>
      <c r="D81" s="145"/>
      <c r="E81" s="145"/>
      <c r="F81" s="547"/>
      <c r="H81" s="570">
        <v>21</v>
      </c>
      <c r="I81" s="147">
        <f t="shared" si="0"/>
        <v>0</v>
      </c>
      <c r="J81" s="148" t="e">
        <f t="shared" si="1"/>
        <v>#N/A</v>
      </c>
      <c r="K81" s="148"/>
      <c r="L81" s="148"/>
      <c r="M81" s="555"/>
      <c r="N81" s="139">
        <v>0</v>
      </c>
      <c r="O81" s="116"/>
      <c r="P81" s="116"/>
      <c r="S81" s="101"/>
      <c r="Y81" s="89"/>
      <c r="AA81" s="89"/>
      <c r="AG81" s="427"/>
      <c r="AH81" s="427"/>
      <c r="AI81" s="427"/>
      <c r="AK81"/>
      <c r="AL81"/>
      <c r="AM81"/>
      <c r="AN81"/>
      <c r="AO81"/>
      <c r="AP81"/>
      <c r="AQ81"/>
      <c r="AR81"/>
      <c r="AS81"/>
      <c r="AT81"/>
      <c r="AU81"/>
      <c r="AV81"/>
    </row>
    <row r="82" spans="2:48" x14ac:dyDescent="0.25">
      <c r="B82" s="144">
        <f>'CoreFlex (RT)'!B32</f>
        <v>0</v>
      </c>
      <c r="C82" s="145">
        <f>'CoreFlex (RT)'!C32</f>
        <v>0</v>
      </c>
      <c r="D82" s="145"/>
      <c r="E82" s="145"/>
      <c r="F82" s="547"/>
      <c r="H82" s="570">
        <v>22</v>
      </c>
      <c r="I82" s="147">
        <f t="shared" si="0"/>
        <v>0</v>
      </c>
      <c r="J82" s="148" t="e">
        <f t="shared" si="1"/>
        <v>#N/A</v>
      </c>
      <c r="K82" s="148"/>
      <c r="L82" s="148"/>
      <c r="M82" s="555"/>
      <c r="N82" s="139">
        <v>0</v>
      </c>
      <c r="O82" s="116"/>
      <c r="P82" s="116"/>
      <c r="S82" s="101"/>
      <c r="Y82" s="89"/>
      <c r="AA82" s="89"/>
      <c r="AK82"/>
      <c r="AL82"/>
      <c r="AM82"/>
      <c r="AN82"/>
      <c r="AO82"/>
      <c r="AP82"/>
      <c r="AQ82"/>
      <c r="AR82"/>
      <c r="AS82"/>
      <c r="AT82"/>
      <c r="AU82"/>
      <c r="AV82"/>
    </row>
    <row r="83" spans="2:48" x14ac:dyDescent="0.25">
      <c r="B83" s="144">
        <f>'CoreFlex (RT)'!B33</f>
        <v>0</v>
      </c>
      <c r="C83" s="145">
        <f>'CoreFlex (RT)'!C33</f>
        <v>0</v>
      </c>
      <c r="D83" s="145"/>
      <c r="E83" s="145"/>
      <c r="F83" s="547"/>
      <c r="H83" s="570">
        <v>23</v>
      </c>
      <c r="I83" s="147">
        <f t="shared" si="0"/>
        <v>0</v>
      </c>
      <c r="J83" s="148" t="e">
        <f t="shared" si="1"/>
        <v>#N/A</v>
      </c>
      <c r="K83" s="148"/>
      <c r="L83" s="148"/>
      <c r="M83" s="555"/>
      <c r="N83" s="139">
        <v>0</v>
      </c>
      <c r="O83" s="116"/>
      <c r="P83" s="116"/>
      <c r="S83" s="101"/>
      <c r="Y83" s="89"/>
      <c r="AA83" s="89"/>
      <c r="AK83"/>
      <c r="AL83"/>
      <c r="AM83"/>
      <c r="AN83"/>
      <c r="AO83"/>
      <c r="AP83"/>
      <c r="AQ83"/>
      <c r="AR83"/>
      <c r="AS83"/>
      <c r="AT83"/>
      <c r="AU83"/>
      <c r="AV83"/>
    </row>
    <row r="84" spans="2:48" x14ac:dyDescent="0.25">
      <c r="B84" s="144"/>
      <c r="C84" s="145"/>
      <c r="D84" s="145"/>
      <c r="E84" s="145"/>
      <c r="F84" s="547"/>
      <c r="H84" s="570"/>
      <c r="I84" s="147"/>
      <c r="J84" s="148"/>
      <c r="K84" s="148"/>
      <c r="L84" s="148"/>
      <c r="M84" s="555"/>
      <c r="N84" s="139"/>
      <c r="O84" s="116"/>
      <c r="P84" s="116"/>
      <c r="S84" s="101"/>
      <c r="Y84" s="89"/>
      <c r="AA84" s="89"/>
      <c r="AK84"/>
      <c r="AL84"/>
      <c r="AM84"/>
      <c r="AN84"/>
      <c r="AO84"/>
      <c r="AP84"/>
      <c r="AQ84"/>
      <c r="AR84"/>
      <c r="AS84"/>
      <c r="AT84"/>
      <c r="AU84"/>
      <c r="AV84"/>
    </row>
    <row r="85" spans="2:48" x14ac:dyDescent="0.25">
      <c r="B85" s="144"/>
      <c r="C85" s="145"/>
      <c r="D85" s="145"/>
      <c r="E85" s="145"/>
      <c r="F85" s="547"/>
      <c r="H85" s="570"/>
      <c r="I85" s="147"/>
      <c r="J85" s="148"/>
      <c r="K85" s="148"/>
      <c r="L85" s="148"/>
      <c r="M85" s="555"/>
      <c r="N85" s="139"/>
      <c r="O85" s="116"/>
      <c r="P85" s="116"/>
      <c r="S85" s="101"/>
      <c r="Y85" s="89"/>
      <c r="AA85" s="89"/>
      <c r="AB85"/>
      <c r="AC85"/>
      <c r="AD85"/>
      <c r="AE85"/>
      <c r="AF85"/>
      <c r="AG85"/>
      <c r="AH85"/>
      <c r="AI85"/>
      <c r="AJ85"/>
      <c r="AK85"/>
      <c r="AL85"/>
      <c r="AM85"/>
      <c r="AN85"/>
    </row>
    <row r="86" spans="2:48" x14ac:dyDescent="0.25">
      <c r="B86" s="144"/>
      <c r="C86" s="145"/>
      <c r="D86" s="145"/>
      <c r="E86" s="145"/>
      <c r="F86" s="547"/>
      <c r="H86" s="570"/>
      <c r="I86" s="147"/>
      <c r="J86" s="148"/>
      <c r="K86" s="148"/>
      <c r="L86" s="148"/>
      <c r="M86" s="555"/>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47"/>
      <c r="H87" s="570"/>
      <c r="I87" s="147"/>
      <c r="J87" s="148"/>
      <c r="K87" s="148"/>
      <c r="L87" s="148"/>
      <c r="M87" s="555"/>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47"/>
      <c r="H88" s="570"/>
      <c r="I88" s="147"/>
      <c r="J88" s="148"/>
      <c r="K88" s="148"/>
      <c r="L88" s="148"/>
      <c r="M88" s="555"/>
      <c r="N88" s="139"/>
      <c r="O88" s="116"/>
      <c r="P88" s="116"/>
      <c r="S88" s="101"/>
      <c r="Y88" s="89"/>
      <c r="Z88" s="89"/>
      <c r="AA88" s="89"/>
      <c r="AB88"/>
      <c r="AC88"/>
      <c r="AD88"/>
      <c r="AE88"/>
      <c r="AF88"/>
      <c r="AG88"/>
      <c r="AH88"/>
      <c r="AI88"/>
      <c r="AJ88"/>
      <c r="AK88"/>
      <c r="AL88"/>
      <c r="AM88"/>
      <c r="AN88"/>
    </row>
    <row r="89" spans="2:48" x14ac:dyDescent="0.25">
      <c r="B89" s="551"/>
      <c r="C89" s="552"/>
      <c r="D89" s="552"/>
      <c r="E89" s="552"/>
      <c r="F89" s="552"/>
      <c r="H89" s="570"/>
      <c r="I89" s="147"/>
      <c r="J89" s="148"/>
      <c r="K89" s="148"/>
      <c r="L89" s="148"/>
      <c r="M89" s="555"/>
      <c r="N89" s="139"/>
      <c r="O89" s="116"/>
      <c r="P89" s="116"/>
      <c r="S89" s="101"/>
      <c r="Y89" s="89"/>
      <c r="Z89" s="89"/>
      <c r="AA89" s="89"/>
      <c r="AB89"/>
      <c r="AC89"/>
      <c r="AD89"/>
      <c r="AE89"/>
      <c r="AF89"/>
      <c r="AG89"/>
      <c r="AH89"/>
      <c r="AI89"/>
      <c r="AJ89"/>
      <c r="AK89"/>
      <c r="AL89"/>
      <c r="AM89"/>
      <c r="AN89"/>
    </row>
    <row r="90" spans="2:48" x14ac:dyDescent="0.25">
      <c r="B90" s="551"/>
      <c r="C90" s="552"/>
      <c r="D90" s="552"/>
      <c r="E90" s="552"/>
      <c r="F90" s="552"/>
      <c r="H90" s="570"/>
      <c r="I90" s="147"/>
      <c r="J90" s="148"/>
      <c r="K90" s="148"/>
      <c r="L90" s="148"/>
      <c r="M90" s="555"/>
      <c r="N90" s="139"/>
      <c r="O90" s="116"/>
      <c r="P90" s="116"/>
      <c r="S90" s="101"/>
      <c r="Y90" s="89"/>
      <c r="AA90" s="89"/>
      <c r="AB90"/>
      <c r="AC90"/>
      <c r="AD90"/>
      <c r="AE90"/>
      <c r="AF90"/>
      <c r="AG90"/>
      <c r="AH90"/>
      <c r="AI90"/>
      <c r="AJ90"/>
      <c r="AK90"/>
      <c r="AL90"/>
      <c r="AM90"/>
      <c r="AN90"/>
    </row>
    <row r="91" spans="2:48" x14ac:dyDescent="0.25">
      <c r="B91" s="551"/>
      <c r="C91" s="552"/>
      <c r="D91" s="552"/>
      <c r="E91" s="552"/>
      <c r="F91" s="552"/>
      <c r="H91" s="570"/>
      <c r="I91" s="147"/>
      <c r="J91" s="148"/>
      <c r="K91" s="148"/>
      <c r="L91" s="148"/>
      <c r="M91" s="555"/>
      <c r="N91" s="139"/>
      <c r="O91" s="116"/>
      <c r="P91" s="116"/>
      <c r="S91" s="101"/>
      <c r="Y91" s="89"/>
      <c r="AA91" s="89"/>
      <c r="AB91"/>
      <c r="AC91"/>
      <c r="AD91"/>
      <c r="AE91"/>
      <c r="AF91"/>
      <c r="AG91"/>
      <c r="AH91"/>
      <c r="AI91"/>
      <c r="AJ91"/>
      <c r="AK91"/>
      <c r="AL91"/>
      <c r="AM91"/>
      <c r="AN91"/>
    </row>
    <row r="92" spans="2:48" x14ac:dyDescent="0.25">
      <c r="B92" s="551"/>
      <c r="C92" s="552"/>
      <c r="D92" s="552"/>
      <c r="E92" s="552"/>
      <c r="F92" s="552"/>
      <c r="H92" s="570"/>
      <c r="I92" s="147"/>
      <c r="J92" s="148"/>
      <c r="K92" s="148"/>
      <c r="L92" s="148"/>
      <c r="M92" s="555"/>
      <c r="N92" s="139"/>
      <c r="O92" s="116"/>
      <c r="P92" s="116"/>
      <c r="S92" s="101"/>
      <c r="Y92" s="89"/>
      <c r="AA92" s="89"/>
      <c r="AB92"/>
      <c r="AC92"/>
      <c r="AD92"/>
      <c r="AE92"/>
      <c r="AF92"/>
      <c r="AG92"/>
      <c r="AH92"/>
      <c r="AI92"/>
      <c r="AJ92"/>
      <c r="AK92"/>
      <c r="AL92"/>
      <c r="AM92"/>
      <c r="AN92"/>
    </row>
    <row r="93" spans="2:48" x14ac:dyDescent="0.25">
      <c r="B93" s="551"/>
      <c r="C93" s="552"/>
      <c r="D93" s="552"/>
      <c r="E93" s="552"/>
      <c r="F93" s="552"/>
      <c r="H93" s="570"/>
      <c r="I93" s="147"/>
      <c r="J93" s="148"/>
      <c r="K93" s="148"/>
      <c r="L93" s="148"/>
      <c r="M93" s="555"/>
      <c r="N93" s="139"/>
      <c r="O93" s="116"/>
      <c r="P93" s="116"/>
      <c r="S93" s="101"/>
      <c r="Y93" s="89"/>
      <c r="AA93" s="89"/>
      <c r="AB93"/>
      <c r="AC93"/>
      <c r="AD93"/>
      <c r="AE93"/>
      <c r="AF93"/>
      <c r="AG93"/>
      <c r="AH93"/>
      <c r="AI93"/>
      <c r="AJ93"/>
      <c r="AK93"/>
      <c r="AL93"/>
      <c r="AM93"/>
      <c r="AN93"/>
    </row>
    <row r="94" spans="2:48" x14ac:dyDescent="0.25">
      <c r="B94" s="551"/>
      <c r="C94" s="552"/>
      <c r="D94" s="552"/>
      <c r="E94" s="552"/>
      <c r="F94" s="552"/>
      <c r="H94" s="570"/>
      <c r="I94" s="147"/>
      <c r="J94" s="148"/>
      <c r="K94" s="148"/>
      <c r="L94" s="148"/>
      <c r="M94" s="555"/>
      <c r="N94" s="139"/>
      <c r="O94" s="116"/>
      <c r="P94" s="116"/>
      <c r="S94" s="101"/>
      <c r="Y94" s="89"/>
      <c r="AA94" s="89"/>
      <c r="AB94"/>
      <c r="AC94"/>
      <c r="AD94"/>
      <c r="AE94"/>
      <c r="AF94"/>
      <c r="AG94"/>
      <c r="AH94"/>
      <c r="AI94"/>
      <c r="AJ94"/>
      <c r="AK94"/>
      <c r="AL94"/>
      <c r="AM94"/>
      <c r="AN94"/>
    </row>
    <row r="95" spans="2:48" x14ac:dyDescent="0.25">
      <c r="B95" s="551"/>
      <c r="C95" s="552"/>
      <c r="D95" s="552"/>
      <c r="E95" s="552"/>
      <c r="F95" s="552"/>
      <c r="H95" s="570"/>
      <c r="I95" s="147"/>
      <c r="J95" s="148"/>
      <c r="K95" s="148"/>
      <c r="L95" s="148"/>
      <c r="M95" s="555"/>
      <c r="N95" s="139"/>
      <c r="O95" s="116"/>
      <c r="P95" s="116"/>
      <c r="S95" s="101"/>
      <c r="Y95" s="89"/>
      <c r="AA95" s="89"/>
      <c r="AB95"/>
      <c r="AC95"/>
      <c r="AD95"/>
      <c r="AE95"/>
      <c r="AF95"/>
      <c r="AG95"/>
      <c r="AH95"/>
      <c r="AI95"/>
      <c r="AJ95"/>
      <c r="AK95"/>
      <c r="AL95"/>
      <c r="AM95"/>
      <c r="AN95"/>
    </row>
    <row r="96" spans="2:48" x14ac:dyDescent="0.25">
      <c r="B96" s="551"/>
      <c r="C96" s="552"/>
      <c r="D96" s="552"/>
      <c r="E96" s="552"/>
      <c r="F96" s="552"/>
      <c r="H96" s="570"/>
      <c r="I96" s="147"/>
      <c r="J96" s="148"/>
      <c r="K96" s="148"/>
      <c r="L96" s="148"/>
      <c r="M96" s="555"/>
      <c r="N96" s="139"/>
      <c r="O96" s="116"/>
      <c r="P96" s="116"/>
      <c r="S96" s="101"/>
      <c r="Y96" s="89"/>
      <c r="AA96" s="89"/>
      <c r="AB96"/>
      <c r="AC96"/>
      <c r="AD96"/>
      <c r="AE96"/>
      <c r="AF96"/>
      <c r="AG96"/>
      <c r="AH96"/>
      <c r="AI96"/>
      <c r="AJ96"/>
      <c r="AK96"/>
      <c r="AL96"/>
      <c r="AM96"/>
      <c r="AN96"/>
    </row>
    <row r="97" spans="2:40" x14ac:dyDescent="0.25">
      <c r="B97" s="551"/>
      <c r="C97" s="552"/>
      <c r="D97" s="552"/>
      <c r="E97" s="552"/>
      <c r="F97" s="552"/>
      <c r="H97" s="570"/>
      <c r="I97" s="147"/>
      <c r="J97" s="148"/>
      <c r="K97" s="148"/>
      <c r="L97" s="148"/>
      <c r="M97" s="555"/>
      <c r="N97" s="139"/>
      <c r="O97" s="116"/>
      <c r="P97" s="116"/>
      <c r="S97" s="101"/>
      <c r="Y97" s="89"/>
      <c r="AA97" s="89"/>
      <c r="AB97"/>
      <c r="AC97"/>
      <c r="AD97"/>
      <c r="AE97"/>
      <c r="AF97"/>
      <c r="AG97"/>
      <c r="AH97"/>
      <c r="AI97"/>
      <c r="AJ97"/>
      <c r="AK97"/>
      <c r="AL97"/>
      <c r="AM97"/>
      <c r="AN97"/>
    </row>
    <row r="98" spans="2:40" x14ac:dyDescent="0.25">
      <c r="B98" s="551"/>
      <c r="C98" s="552"/>
      <c r="D98" s="552"/>
      <c r="E98" s="552"/>
      <c r="F98" s="552"/>
      <c r="H98" s="570"/>
      <c r="I98" s="147"/>
      <c r="J98" s="148"/>
      <c r="K98" s="148"/>
      <c r="L98" s="148"/>
      <c r="M98" s="555"/>
      <c r="N98" s="139"/>
      <c r="O98" s="116"/>
      <c r="P98" s="365"/>
      <c r="S98" s="101"/>
      <c r="Y98" s="89"/>
      <c r="AA98" s="89"/>
      <c r="AB98"/>
      <c r="AC98"/>
      <c r="AD98"/>
      <c r="AE98"/>
      <c r="AF98"/>
      <c r="AG98"/>
      <c r="AH98"/>
      <c r="AI98"/>
      <c r="AJ98"/>
      <c r="AK98"/>
      <c r="AL98"/>
      <c r="AM98"/>
      <c r="AN98"/>
    </row>
    <row r="99" spans="2:40" x14ac:dyDescent="0.25">
      <c r="B99" s="551"/>
      <c r="C99" s="552"/>
      <c r="D99" s="552"/>
      <c r="E99" s="552"/>
      <c r="F99" s="552"/>
      <c r="H99" s="570"/>
      <c r="I99" s="147"/>
      <c r="J99" s="148"/>
      <c r="K99" s="148"/>
      <c r="L99" s="148"/>
      <c r="M99" s="555"/>
      <c r="N99" s="139"/>
      <c r="O99" s="116"/>
      <c r="P99" s="116"/>
      <c r="S99" s="101"/>
      <c r="Y99" s="89"/>
      <c r="AA99" s="89"/>
      <c r="AB99"/>
      <c r="AC99"/>
      <c r="AD99"/>
      <c r="AE99"/>
      <c r="AF99"/>
      <c r="AG99"/>
      <c r="AH99"/>
      <c r="AI99"/>
      <c r="AJ99"/>
      <c r="AK99"/>
      <c r="AL99"/>
      <c r="AM99"/>
      <c r="AN99"/>
    </row>
    <row r="100" spans="2:40" x14ac:dyDescent="0.25">
      <c r="B100" s="551"/>
      <c r="C100" s="552"/>
      <c r="D100" s="552"/>
      <c r="E100" s="552"/>
      <c r="F100" s="552"/>
      <c r="H100" s="570"/>
      <c r="I100" s="147"/>
      <c r="J100" s="148"/>
      <c r="K100" s="148"/>
      <c r="L100" s="148"/>
      <c r="M100" s="555"/>
      <c r="N100" s="139"/>
      <c r="O100" s="116"/>
      <c r="P100" s="116"/>
      <c r="S100" s="101"/>
      <c r="Y100" s="89"/>
      <c r="AA100" s="89"/>
      <c r="AB100"/>
      <c r="AC100"/>
      <c r="AD100"/>
      <c r="AE100"/>
      <c r="AF100"/>
      <c r="AG100"/>
      <c r="AH100"/>
      <c r="AI100"/>
      <c r="AJ100"/>
      <c r="AK100"/>
      <c r="AL100"/>
      <c r="AM100"/>
      <c r="AN100"/>
    </row>
    <row r="101" spans="2:40" ht="15" customHeight="1" x14ac:dyDescent="0.25">
      <c r="B101" s="546"/>
      <c r="C101" s="547"/>
      <c r="D101" s="547"/>
      <c r="E101" s="547"/>
      <c r="F101" s="547"/>
      <c r="H101" s="570"/>
      <c r="I101" s="147"/>
      <c r="J101" s="148"/>
      <c r="K101" s="148"/>
      <c r="L101" s="148"/>
      <c r="M101" s="555"/>
      <c r="N101" s="139"/>
      <c r="O101" s="116"/>
      <c r="P101" s="116"/>
      <c r="S101" s="101"/>
      <c r="Y101" s="89"/>
      <c r="AA101" s="126"/>
      <c r="AB101"/>
      <c r="AC101"/>
      <c r="AD101"/>
      <c r="AE101"/>
      <c r="AF101"/>
      <c r="AG101"/>
      <c r="AH101"/>
      <c r="AI101"/>
      <c r="AJ101"/>
      <c r="AK101"/>
      <c r="AL101"/>
      <c r="AM101"/>
      <c r="AN101"/>
    </row>
    <row r="102" spans="2:40" x14ac:dyDescent="0.25">
      <c r="B102" s="546"/>
      <c r="C102" s="547"/>
      <c r="D102" s="547"/>
      <c r="E102" s="547"/>
      <c r="F102" s="547"/>
      <c r="H102" s="570"/>
      <c r="I102" s="147"/>
      <c r="J102" s="148"/>
      <c r="K102" s="148"/>
      <c r="L102" s="148"/>
      <c r="M102" s="555"/>
      <c r="N102" s="139"/>
      <c r="O102" s="116"/>
      <c r="P102" s="478"/>
      <c r="S102" s="101"/>
      <c r="Y102" s="89"/>
      <c r="AA102" s="89"/>
      <c r="AB102"/>
      <c r="AC102"/>
      <c r="AD102"/>
      <c r="AE102"/>
      <c r="AF102"/>
      <c r="AG102"/>
      <c r="AH102"/>
      <c r="AI102"/>
      <c r="AJ102"/>
      <c r="AK102"/>
      <c r="AL102"/>
      <c r="AM102"/>
      <c r="AN102"/>
    </row>
    <row r="103" spans="2:40" x14ac:dyDescent="0.25">
      <c r="B103" s="546"/>
      <c r="C103" s="547"/>
      <c r="D103" s="547"/>
      <c r="E103" s="547"/>
      <c r="F103" s="547"/>
      <c r="H103" s="570"/>
      <c r="I103" s="147"/>
      <c r="J103" s="148"/>
      <c r="K103" s="148"/>
      <c r="L103" s="148"/>
      <c r="M103" s="555"/>
      <c r="O103" s="477"/>
      <c r="P103" s="477"/>
      <c r="S103" s="101"/>
      <c r="AA103"/>
      <c r="AB103"/>
      <c r="AC103"/>
      <c r="AD103"/>
      <c r="AE103"/>
      <c r="AF103"/>
      <c r="AG103"/>
      <c r="AH103"/>
      <c r="AI103"/>
      <c r="AJ103"/>
      <c r="AK103"/>
      <c r="AL103"/>
      <c r="AM103"/>
      <c r="AN103"/>
    </row>
    <row r="104" spans="2:40" ht="15.75" thickBot="1" x14ac:dyDescent="0.3">
      <c r="M104"/>
      <c r="O104" s="477"/>
      <c r="P104" s="477"/>
      <c r="S104" s="101"/>
      <c r="AA104"/>
      <c r="AB104"/>
      <c r="AC104"/>
      <c r="AD104"/>
      <c r="AE104"/>
      <c r="AF104"/>
      <c r="AG104"/>
      <c r="AH104"/>
      <c r="AI104"/>
      <c r="AJ104"/>
      <c r="AK104"/>
      <c r="AL104"/>
      <c r="AM104"/>
      <c r="AN104"/>
    </row>
    <row r="105" spans="2:40" ht="15.75" x14ac:dyDescent="0.25">
      <c r="G105" s="89" t="s">
        <v>633</v>
      </c>
      <c r="I105" s="572"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77"/>
      <c r="P105" s="477"/>
      <c r="Q105"/>
      <c r="S105" s="101"/>
      <c r="AA105"/>
      <c r="AB105"/>
      <c r="AC105"/>
      <c r="AD105"/>
      <c r="AE105"/>
      <c r="AF105"/>
      <c r="AG105"/>
      <c r="AH105"/>
      <c r="AI105"/>
      <c r="AJ105"/>
      <c r="AK105"/>
      <c r="AL105"/>
      <c r="AM105"/>
      <c r="AN105"/>
    </row>
    <row r="106" spans="2:40" ht="15.75" x14ac:dyDescent="0.25">
      <c r="H106" s="89" t="s">
        <v>634</v>
      </c>
      <c r="I106" s="573" t="e">
        <f ca="1">VLOOKUP(I105,H61:I83,2,FALSE)</f>
        <v>#N/A</v>
      </c>
      <c r="J106" s="160"/>
      <c r="K106" s="571"/>
      <c r="L106" s="161"/>
      <c r="O106" s="477"/>
      <c r="P106" s="477"/>
      <c r="S106" s="101"/>
      <c r="AA106"/>
      <c r="AB106"/>
      <c r="AC106"/>
      <c r="AD106"/>
      <c r="AE106"/>
      <c r="AF106"/>
      <c r="AG106"/>
      <c r="AH106"/>
      <c r="AI106"/>
      <c r="AJ106"/>
      <c r="AK106"/>
      <c r="AL106"/>
      <c r="AM106"/>
      <c r="AN106"/>
    </row>
    <row r="107" spans="2:40" ht="16.5" thickBot="1" x14ac:dyDescent="0.3">
      <c r="B107"/>
      <c r="C107"/>
      <c r="D107"/>
      <c r="E107"/>
      <c r="F107"/>
      <c r="I107" s="574" t="e">
        <f ca="1">IF(G68=J60,I106,0)</f>
        <v>#N/A</v>
      </c>
      <c r="J107" s="163"/>
      <c r="K107" s="115"/>
      <c r="L107" s="164"/>
      <c r="N107"/>
      <c r="O107" s="477"/>
      <c r="P107" s="477"/>
      <c r="S107" s="101"/>
      <c r="AA107"/>
      <c r="AB107"/>
      <c r="AC107"/>
      <c r="AD107"/>
      <c r="AE107"/>
      <c r="AF107"/>
      <c r="AG107"/>
      <c r="AH107"/>
      <c r="AI107"/>
      <c r="AJ107"/>
      <c r="AK107"/>
      <c r="AL107"/>
      <c r="AM107"/>
      <c r="AN107"/>
    </row>
    <row r="108" spans="2:40" ht="15.75" x14ac:dyDescent="0.25">
      <c r="B108" s="697" t="e">
        <f>#REF!</f>
        <v>#REF!</v>
      </c>
      <c r="C108" s="698"/>
      <c r="D108" s="698"/>
      <c r="E108" s="165" t="s">
        <v>635</v>
      </c>
      <c r="F108"/>
      <c r="I108" s="573" t="e">
        <f ca="1">VLOOKUP(I105,H61:J104,3,FALSE)</f>
        <v>#N/A</v>
      </c>
      <c r="J108" s="160"/>
      <c r="K108" s="160"/>
      <c r="L108" s="166"/>
      <c r="N108"/>
      <c r="O108" s="477"/>
      <c r="P108" s="477"/>
      <c r="S108" s="101"/>
      <c r="AA108"/>
      <c r="AB108"/>
      <c r="AC108"/>
      <c r="AD108"/>
      <c r="AE108"/>
      <c r="AF108"/>
      <c r="AG108"/>
      <c r="AH108"/>
      <c r="AI108"/>
      <c r="AJ108"/>
      <c r="AK108"/>
      <c r="AL108"/>
      <c r="AM108"/>
      <c r="AN108"/>
    </row>
    <row r="109" spans="2:40" ht="16.5" thickBot="1" x14ac:dyDescent="0.3">
      <c r="B109" s="756" t="str">
        <f>'CoreFlex (RT)'!B48</f>
        <v>30 Year Fixed Only</v>
      </c>
      <c r="C109" s="757"/>
      <c r="D109" s="545">
        <f>'CoreFlex (RT)'!B46</f>
        <v>99.5</v>
      </c>
      <c r="E109" s="565">
        <f>IF(OR('CoreFlex (RT)'!O23=L3),D109,"")</f>
        <v>99.5</v>
      </c>
      <c r="F109"/>
      <c r="I109" s="575" t="e">
        <f ca="1">IF(G68=J60,I108,0)</f>
        <v>#N/A</v>
      </c>
      <c r="J109" s="171"/>
      <c r="K109" s="171"/>
      <c r="L109" s="173"/>
      <c r="N109" s="139" t="e">
        <f ca="1">SUM(I107:L107)</f>
        <v>#N/A</v>
      </c>
      <c r="O109" s="477"/>
      <c r="P109" s="477"/>
      <c r="S109" s="101"/>
      <c r="AA109"/>
      <c r="AB109"/>
      <c r="AC109"/>
      <c r="AD109"/>
      <c r="AE109"/>
      <c r="AF109"/>
      <c r="AG109"/>
      <c r="AH109"/>
      <c r="AI109"/>
      <c r="AJ109"/>
      <c r="AK109"/>
      <c r="AL109"/>
      <c r="AM109"/>
      <c r="AN109"/>
    </row>
    <row r="110" spans="2:40" x14ac:dyDescent="0.25">
      <c r="B110" s="700"/>
      <c r="C110" s="701"/>
      <c r="D110" s="529"/>
      <c r="E110" s="566"/>
      <c r="F110"/>
      <c r="O110" s="116"/>
      <c r="P110" s="116"/>
      <c r="S110" s="101"/>
      <c r="AA110"/>
      <c r="AB110"/>
      <c r="AC110"/>
      <c r="AD110"/>
      <c r="AE110"/>
      <c r="AF110"/>
      <c r="AG110"/>
      <c r="AH110"/>
      <c r="AI110"/>
      <c r="AJ110"/>
      <c r="AK110"/>
      <c r="AL110"/>
      <c r="AM110"/>
      <c r="AN110"/>
    </row>
    <row r="111" spans="2:40" x14ac:dyDescent="0.25">
      <c r="B111" s="700"/>
      <c r="C111" s="701"/>
      <c r="D111" s="529"/>
      <c r="E111" s="566"/>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700"/>
      <c r="C112" s="701"/>
      <c r="D112" s="529"/>
      <c r="E112" s="566"/>
      <c r="F112"/>
      <c r="G112"/>
      <c r="H112"/>
      <c r="I112"/>
      <c r="J112"/>
      <c r="K112"/>
      <c r="L112"/>
      <c r="M112"/>
      <c r="O112" s="116"/>
      <c r="P112" s="116"/>
      <c r="S112" s="101"/>
      <c r="AA112"/>
      <c r="AB112"/>
      <c r="AC112"/>
      <c r="AD112"/>
      <c r="AE112"/>
      <c r="AF112"/>
      <c r="AG112"/>
      <c r="AH112"/>
      <c r="AI112"/>
      <c r="AJ112"/>
      <c r="AK112"/>
      <c r="AL112"/>
      <c r="AM112"/>
      <c r="AN112"/>
    </row>
    <row r="113" spans="2:37" x14ac:dyDescent="0.25">
      <c r="B113" s="700"/>
      <c r="C113" s="701"/>
      <c r="D113" s="529"/>
      <c r="E113" s="566"/>
      <c r="F113"/>
      <c r="G113"/>
      <c r="H113"/>
      <c r="I113" s="690" t="s">
        <v>636</v>
      </c>
      <c r="J113" s="691"/>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700"/>
      <c r="C114" s="701"/>
      <c r="D114" s="529"/>
      <c r="E114" s="566"/>
      <c r="F114"/>
      <c r="G114"/>
      <c r="H114"/>
      <c r="I114" s="695"/>
      <c r="J114" s="696"/>
      <c r="K114" s="176"/>
      <c r="L114" s="177"/>
      <c r="M114"/>
      <c r="O114" s="116"/>
      <c r="P114" s="116"/>
      <c r="S114" s="101"/>
      <c r="X114"/>
      <c r="Y114"/>
      <c r="Z114"/>
      <c r="AA114"/>
      <c r="AB114"/>
      <c r="AC114"/>
      <c r="AD114"/>
      <c r="AE114"/>
      <c r="AF114"/>
      <c r="AG114"/>
      <c r="AH114"/>
      <c r="AI114"/>
      <c r="AJ114"/>
      <c r="AK114"/>
    </row>
    <row r="115" spans="2:37" x14ac:dyDescent="0.25">
      <c r="B115" s="700"/>
      <c r="C115" s="701"/>
      <c r="D115" s="529"/>
      <c r="E115" s="566"/>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700"/>
      <c r="C116" s="701"/>
      <c r="D116" s="530"/>
      <c r="E116" s="566"/>
      <c r="F116"/>
      <c r="G116"/>
      <c r="H116"/>
      <c r="I116"/>
      <c r="J116"/>
      <c r="K116"/>
      <c r="L116"/>
      <c r="M116"/>
      <c r="O116" s="116"/>
      <c r="P116" s="116"/>
      <c r="S116" s="101"/>
      <c r="X116"/>
      <c r="Y116"/>
      <c r="Z116"/>
      <c r="AA116"/>
      <c r="AB116"/>
      <c r="AC116"/>
      <c r="AD116"/>
      <c r="AE116"/>
      <c r="AF116"/>
      <c r="AG116"/>
      <c r="AH116"/>
      <c r="AI116"/>
      <c r="AJ116"/>
      <c r="AK116"/>
    </row>
    <row r="117" spans="2:37" x14ac:dyDescent="0.25">
      <c r="B117" s="700"/>
      <c r="C117" s="701"/>
      <c r="D117" s="530"/>
      <c r="E117" s="566"/>
      <c r="F117"/>
      <c r="G117"/>
      <c r="H117"/>
      <c r="I117"/>
      <c r="J117"/>
      <c r="K117"/>
      <c r="L117"/>
      <c r="M117"/>
      <c r="O117" s="116"/>
      <c r="P117" s="116"/>
      <c r="S117" s="101"/>
      <c r="X117"/>
      <c r="Y117"/>
      <c r="Z117"/>
      <c r="AA117"/>
      <c r="AB117"/>
      <c r="AC117"/>
      <c r="AD117"/>
      <c r="AE117"/>
      <c r="AF117"/>
      <c r="AG117"/>
      <c r="AH117"/>
      <c r="AI117"/>
      <c r="AJ117"/>
      <c r="AK117"/>
    </row>
    <row r="118" spans="2:37" x14ac:dyDescent="0.25">
      <c r="B118" s="700"/>
      <c r="C118" s="701"/>
      <c r="D118" s="530"/>
      <c r="E118" s="566"/>
      <c r="F118"/>
      <c r="G118"/>
      <c r="H118"/>
      <c r="I118"/>
      <c r="J118"/>
      <c r="K118"/>
      <c r="L118"/>
      <c r="M118"/>
      <c r="O118" s="116"/>
      <c r="P118" s="116"/>
      <c r="S118" s="101"/>
      <c r="X118"/>
      <c r="Y118"/>
      <c r="Z118"/>
      <c r="AA118"/>
      <c r="AB118"/>
      <c r="AC118"/>
      <c r="AD118"/>
      <c r="AE118"/>
      <c r="AF118"/>
      <c r="AG118"/>
      <c r="AH118"/>
      <c r="AI118"/>
      <c r="AJ118"/>
      <c r="AK118"/>
    </row>
    <row r="119" spans="2:37" x14ac:dyDescent="0.25">
      <c r="B119" s="700"/>
      <c r="C119" s="701"/>
      <c r="D119" s="530"/>
      <c r="E119" s="566"/>
      <c r="F119"/>
      <c r="G119"/>
      <c r="H119"/>
      <c r="I119"/>
      <c r="J119"/>
      <c r="K119"/>
      <c r="L119"/>
      <c r="M119"/>
      <c r="O119" s="116"/>
      <c r="P119" s="116"/>
      <c r="S119" s="101"/>
    </row>
    <row r="120" spans="2:37" x14ac:dyDescent="0.25">
      <c r="B120" s="700"/>
      <c r="C120" s="701"/>
      <c r="D120" s="530"/>
      <c r="E120" s="566"/>
      <c r="F120"/>
      <c r="G120"/>
      <c r="H120"/>
      <c r="I120"/>
      <c r="J120"/>
      <c r="K120"/>
      <c r="L120"/>
      <c r="M120"/>
      <c r="O120" s="116"/>
      <c r="P120" s="116"/>
      <c r="S120" s="101"/>
    </row>
    <row r="121" spans="2:37" x14ac:dyDescent="0.25">
      <c r="B121" s="700"/>
      <c r="C121" s="701"/>
      <c r="D121" s="530"/>
      <c r="E121" s="567"/>
      <c r="F121"/>
      <c r="G121"/>
      <c r="H121"/>
      <c r="I121"/>
      <c r="J121"/>
      <c r="K121"/>
      <c r="L121"/>
      <c r="M121"/>
      <c r="O121" s="116"/>
      <c r="P121" s="116"/>
      <c r="S121" s="101"/>
    </row>
    <row r="122" spans="2:37" x14ac:dyDescent="0.25">
      <c r="B122" s="700"/>
      <c r="C122" s="701"/>
      <c r="D122" s="530"/>
      <c r="E122" s="567"/>
      <c r="F122"/>
      <c r="G122"/>
      <c r="H122"/>
      <c r="I122"/>
      <c r="J122"/>
      <c r="K122"/>
      <c r="L122"/>
      <c r="M122"/>
      <c r="O122" s="116"/>
      <c r="P122" s="116"/>
      <c r="S122" s="101"/>
    </row>
    <row r="123" spans="2:37" x14ac:dyDescent="0.25">
      <c r="B123" s="700"/>
      <c r="C123" s="701"/>
      <c r="D123" s="530"/>
      <c r="E123" s="566"/>
      <c r="F123"/>
      <c r="G123"/>
      <c r="H123"/>
      <c r="I123"/>
      <c r="J123"/>
      <c r="K123"/>
      <c r="L123"/>
      <c r="M123"/>
      <c r="O123" s="116"/>
      <c r="P123" s="116"/>
      <c r="S123" s="101"/>
    </row>
    <row r="124" spans="2:37" x14ac:dyDescent="0.25">
      <c r="B124" s="167"/>
      <c r="C124" s="168"/>
      <c r="D124" s="530"/>
      <c r="E124" s="566"/>
      <c r="F124"/>
      <c r="G124"/>
      <c r="H124"/>
      <c r="I124"/>
      <c r="J124"/>
      <c r="K124"/>
      <c r="L124"/>
      <c r="M124"/>
      <c r="O124" s="116"/>
      <c r="P124" s="116"/>
      <c r="S124" s="101"/>
    </row>
    <row r="125" spans="2:37" ht="15.75" thickBot="1" x14ac:dyDescent="0.3">
      <c r="B125" s="486"/>
      <c r="C125" s="487"/>
      <c r="D125" s="531"/>
      <c r="E125" s="568"/>
      <c r="F125"/>
      <c r="G125"/>
      <c r="H125"/>
      <c r="I125"/>
      <c r="J125"/>
      <c r="K125"/>
      <c r="L125"/>
      <c r="M125"/>
      <c r="O125" s="116"/>
      <c r="P125" s="116"/>
      <c r="S125" s="101"/>
    </row>
    <row r="126" spans="2:37" ht="15.75" thickBot="1" x14ac:dyDescent="0.3">
      <c r="D126" s="99" t="s">
        <v>638</v>
      </c>
      <c r="E126" s="532">
        <f>IF(E125&lt;&gt;"",E125,IF(E123&lt;&gt;"",E123,MIN(E109:E122)))</f>
        <v>99.5</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33" t="s">
        <v>139</v>
      </c>
      <c r="C128" s="534"/>
      <c r="D128" s="535"/>
      <c r="E128" s="536" t="s">
        <v>635</v>
      </c>
      <c r="F128"/>
      <c r="G128"/>
      <c r="H128"/>
      <c r="I128"/>
      <c r="J128"/>
      <c r="K128"/>
      <c r="L128"/>
      <c r="M128"/>
      <c r="O128" s="116"/>
      <c r="P128" s="116"/>
      <c r="S128" s="101"/>
    </row>
    <row r="129" spans="2:23" x14ac:dyDescent="0.25">
      <c r="B129" s="537"/>
      <c r="C129" s="538"/>
      <c r="D129" s="539"/>
      <c r="E129" s="543"/>
      <c r="F129"/>
      <c r="G129"/>
      <c r="H129"/>
      <c r="I129"/>
      <c r="J129"/>
      <c r="K129"/>
      <c r="L129"/>
      <c r="M129"/>
      <c r="O129" s="116"/>
      <c r="P129" s="116"/>
      <c r="S129" s="101"/>
    </row>
    <row r="130" spans="2:23" ht="15.75" thickBot="1" x14ac:dyDescent="0.3">
      <c r="B130" s="540"/>
      <c r="C130" s="541"/>
      <c r="D130" s="542"/>
      <c r="E130" s="544"/>
      <c r="F130"/>
      <c r="G130"/>
      <c r="H130"/>
      <c r="I130"/>
      <c r="J130"/>
      <c r="K130"/>
      <c r="L130"/>
      <c r="M130"/>
      <c r="O130" s="116"/>
      <c r="P130" s="116"/>
      <c r="S130" s="101"/>
    </row>
    <row r="131" spans="2:23" ht="15.75" thickBot="1" x14ac:dyDescent="0.3">
      <c r="D131" s="99" t="s">
        <v>638</v>
      </c>
      <c r="E131" s="532">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56" t="s">
        <v>765</v>
      </c>
      <c r="C139" s="101"/>
      <c r="D139" s="101"/>
      <c r="E139" s="101"/>
    </row>
    <row r="140" spans="2:23" ht="35.25" customHeight="1" x14ac:dyDescent="0.25">
      <c r="B140" s="556" t="s">
        <v>31</v>
      </c>
      <c r="C140" s="556" t="s">
        <v>765</v>
      </c>
      <c r="D140" s="533"/>
      <c r="E140" s="533"/>
    </row>
    <row r="141" spans="2:23" ht="40.5" x14ac:dyDescent="0.25">
      <c r="B141" s="524" t="s">
        <v>766</v>
      </c>
      <c r="C141" s="524" t="s">
        <v>766</v>
      </c>
      <c r="D141" s="455" t="s">
        <v>777</v>
      </c>
      <c r="E141" s="527">
        <v>0</v>
      </c>
    </row>
    <row r="142" spans="2:23" ht="40.5" x14ac:dyDescent="0.25">
      <c r="B142" s="524" t="s">
        <v>767</v>
      </c>
      <c r="C142" s="524" t="s">
        <v>767</v>
      </c>
      <c r="D142" s="455" t="s">
        <v>778</v>
      </c>
      <c r="E142" s="527">
        <v>0.15</v>
      </c>
    </row>
    <row r="143" spans="2:23" ht="40.5" x14ac:dyDescent="0.25">
      <c r="B143" s="524" t="s">
        <v>768</v>
      </c>
      <c r="C143" s="524" t="s">
        <v>768</v>
      </c>
      <c r="D143" s="455" t="s">
        <v>779</v>
      </c>
      <c r="E143" s="527">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8" t="s">
        <v>645</v>
      </c>
      <c r="O1" s="658"/>
      <c r="P1" s="658"/>
      <c r="Q1" s="2"/>
      <c r="R1" s="659"/>
      <c r="S1" s="659"/>
      <c r="T1" s="2"/>
      <c r="U1" s="2"/>
      <c r="V1" s="3"/>
    </row>
    <row r="2" spans="1:25" ht="17.45" customHeight="1" x14ac:dyDescent="0.25">
      <c r="N2" s="660" t="s">
        <v>1</v>
      </c>
      <c r="O2" s="660"/>
      <c r="P2" s="660"/>
      <c r="Q2" s="4"/>
      <c r="R2" s="661"/>
      <c r="S2" s="661"/>
      <c r="T2" s="2"/>
      <c r="U2" s="2"/>
      <c r="V2" s="3"/>
    </row>
    <row r="3" spans="1:25" ht="17.45" customHeight="1" x14ac:dyDescent="0.25">
      <c r="N3" s="660" t="s">
        <v>2</v>
      </c>
      <c r="O3" s="660"/>
      <c r="P3" s="660"/>
      <c r="Q3" s="4"/>
      <c r="R3" s="661"/>
      <c r="S3" s="661"/>
      <c r="T3" s="4"/>
      <c r="U3" s="4"/>
    </row>
    <row r="4" spans="1:25" ht="17.45" customHeight="1" x14ac:dyDescent="0.25">
      <c r="F4" s="5"/>
      <c r="M4" s="6"/>
      <c r="N4" s="7"/>
      <c r="O4" s="7"/>
      <c r="P4" s="7"/>
      <c r="Q4" s="8"/>
      <c r="R4" s="4"/>
      <c r="S4" s="4"/>
      <c r="T4" s="4"/>
      <c r="U4" s="4"/>
    </row>
    <row r="5" spans="1:25" ht="17.45" customHeight="1" thickBot="1" x14ac:dyDescent="0.3">
      <c r="L5" s="9"/>
      <c r="M5" s="654" t="s">
        <v>3</v>
      </c>
      <c r="N5" s="654"/>
      <c r="O5" s="655">
        <v>45869</v>
      </c>
      <c r="P5" s="655"/>
      <c r="Q5" s="8"/>
      <c r="T5" s="3"/>
      <c r="U5" s="3"/>
    </row>
    <row r="6" spans="1:25" ht="17.45" customHeight="1" x14ac:dyDescent="0.25">
      <c r="A6" s="201"/>
      <c r="B6" s="801" t="s">
        <v>4</v>
      </c>
      <c r="C6" s="802"/>
      <c r="D6" s="203"/>
      <c r="E6" s="204"/>
      <c r="F6" s="805" t="s">
        <v>646</v>
      </c>
      <c r="G6" s="806"/>
      <c r="H6" s="806"/>
      <c r="I6" s="806"/>
      <c r="J6" s="806"/>
      <c r="K6" s="806"/>
      <c r="L6" s="806"/>
      <c r="M6" s="806"/>
      <c r="N6" s="806"/>
      <c r="O6" s="806"/>
      <c r="P6" s="807"/>
      <c r="Q6" s="203"/>
      <c r="R6" s="202"/>
      <c r="S6" s="805" t="s">
        <v>5</v>
      </c>
      <c r="T6" s="806"/>
      <c r="U6" s="806"/>
      <c r="V6" s="807"/>
      <c r="W6" s="202"/>
    </row>
    <row r="7" spans="1:25" ht="17.45" customHeight="1" thickBot="1" x14ac:dyDescent="0.3">
      <c r="A7" s="201"/>
      <c r="B7" s="803"/>
      <c r="C7" s="804"/>
      <c r="D7" s="203"/>
      <c r="E7" s="204"/>
      <c r="F7" s="808"/>
      <c r="G7" s="809"/>
      <c r="H7" s="809"/>
      <c r="I7" s="809"/>
      <c r="J7" s="809"/>
      <c r="K7" s="809"/>
      <c r="L7" s="809"/>
      <c r="M7" s="809"/>
      <c r="N7" s="809"/>
      <c r="O7" s="809"/>
      <c r="P7" s="810"/>
      <c r="Q7" s="203"/>
      <c r="R7" s="202"/>
      <c r="S7" s="811"/>
      <c r="T7" s="812"/>
      <c r="U7" s="812"/>
      <c r="V7" s="813"/>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814" t="s">
        <v>6</v>
      </c>
      <c r="C9" s="815"/>
      <c r="D9" s="205"/>
      <c r="E9" s="202"/>
      <c r="F9" s="816" t="s">
        <v>7</v>
      </c>
      <c r="G9" s="817"/>
      <c r="H9" s="817"/>
      <c r="I9" s="817"/>
      <c r="J9" s="817"/>
      <c r="K9" s="817"/>
      <c r="L9" s="817"/>
      <c r="M9" s="817"/>
      <c r="N9" s="817"/>
      <c r="O9" s="817"/>
      <c r="P9" s="818"/>
      <c r="Q9" s="222"/>
      <c r="R9" s="202"/>
      <c r="S9" s="234"/>
      <c r="T9" s="235"/>
      <c r="U9" s="236" t="s">
        <v>8</v>
      </c>
      <c r="V9" s="237"/>
      <c r="W9" s="202"/>
    </row>
    <row r="10" spans="1:25" ht="15.75" customHeight="1" x14ac:dyDescent="0.25">
      <c r="A10" s="201"/>
      <c r="B10" s="238" t="s">
        <v>9</v>
      </c>
      <c r="C10" s="240" t="s">
        <v>10</v>
      </c>
      <c r="D10" s="201"/>
      <c r="E10" s="202"/>
      <c r="F10" s="784" t="s">
        <v>11</v>
      </c>
      <c r="G10" s="785"/>
      <c r="H10" s="239" t="s">
        <v>12</v>
      </c>
      <c r="I10" s="239" t="s">
        <v>13</v>
      </c>
      <c r="J10" s="239" t="s">
        <v>14</v>
      </c>
      <c r="K10" s="239" t="s">
        <v>15</v>
      </c>
      <c r="L10" s="239" t="s">
        <v>16</v>
      </c>
      <c r="M10" s="239" t="s">
        <v>17</v>
      </c>
      <c r="N10" s="239" t="s">
        <v>18</v>
      </c>
      <c r="O10" s="239" t="s">
        <v>19</v>
      </c>
      <c r="P10" s="240" t="s">
        <v>20</v>
      </c>
      <c r="Q10" s="223"/>
      <c r="R10" s="202"/>
      <c r="S10" s="772" t="s">
        <v>21</v>
      </c>
      <c r="T10" s="773"/>
      <c r="U10" s="13" t="s">
        <v>31</v>
      </c>
      <c r="V10" s="198"/>
      <c r="W10" s="202"/>
    </row>
    <row r="11" spans="1:25" ht="14.25" customHeight="1" x14ac:dyDescent="0.25">
      <c r="A11" s="201"/>
      <c r="B11" s="241">
        <v>6.25</v>
      </c>
      <c r="C11" s="416">
        <v>98.688000000000002</v>
      </c>
      <c r="D11" s="206"/>
      <c r="E11" s="202"/>
      <c r="F11" s="758" t="s">
        <v>22</v>
      </c>
      <c r="G11" s="759">
        <v>0</v>
      </c>
      <c r="H11" s="14">
        <v>0.625</v>
      </c>
      <c r="I11" s="14">
        <v>0.5</v>
      </c>
      <c r="J11" s="14">
        <v>0.5</v>
      </c>
      <c r="K11" s="14">
        <v>0.5</v>
      </c>
      <c r="L11" s="14">
        <v>0.375</v>
      </c>
      <c r="M11" s="14">
        <v>0.125</v>
      </c>
      <c r="N11" s="14">
        <v>-0.125</v>
      </c>
      <c r="O11" s="14">
        <v>-1.75</v>
      </c>
      <c r="P11" s="15">
        <v>-3.25</v>
      </c>
      <c r="Q11" s="224"/>
      <c r="R11" s="202"/>
      <c r="S11" s="760" t="s">
        <v>23</v>
      </c>
      <c r="T11" s="761"/>
      <c r="U11" s="16" t="s">
        <v>31</v>
      </c>
      <c r="V11" s="198"/>
      <c r="W11" s="202"/>
      <c r="X11" s="17"/>
      <c r="Y11" s="17"/>
    </row>
    <row r="12" spans="1:25" x14ac:dyDescent="0.25">
      <c r="A12" s="201"/>
      <c r="B12" s="241">
        <v>6.375</v>
      </c>
      <c r="C12" s="416">
        <v>99.188000000000002</v>
      </c>
      <c r="D12" s="206"/>
      <c r="E12" s="202"/>
      <c r="F12" s="758" t="s">
        <v>24</v>
      </c>
      <c r="G12" s="759">
        <v>0</v>
      </c>
      <c r="H12" s="18">
        <v>0.5</v>
      </c>
      <c r="I12" s="18">
        <v>0.5</v>
      </c>
      <c r="J12" s="14">
        <v>0.5</v>
      </c>
      <c r="K12" s="18">
        <v>0.375</v>
      </c>
      <c r="L12" s="18">
        <v>0.25</v>
      </c>
      <c r="M12" s="18">
        <v>0</v>
      </c>
      <c r="N12" s="18">
        <v>-0.375</v>
      </c>
      <c r="O12" s="18">
        <v>-2</v>
      </c>
      <c r="P12" s="19">
        <v>-3.5</v>
      </c>
      <c r="Q12" s="224"/>
      <c r="R12" s="202"/>
      <c r="S12" s="760" t="s">
        <v>25</v>
      </c>
      <c r="T12" s="761"/>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58" t="s">
        <v>26</v>
      </c>
      <c r="G13" s="759">
        <v>0</v>
      </c>
      <c r="H13" s="18">
        <v>0.5</v>
      </c>
      <c r="I13" s="18">
        <v>0.375</v>
      </c>
      <c r="J13" s="14">
        <v>0.375</v>
      </c>
      <c r="K13" s="18">
        <v>0.25</v>
      </c>
      <c r="L13" s="18">
        <v>0</v>
      </c>
      <c r="M13" s="18">
        <v>-0.375</v>
      </c>
      <c r="N13" s="18">
        <v>-0.5</v>
      </c>
      <c r="O13" s="18">
        <v>-2.25</v>
      </c>
      <c r="P13" s="19">
        <v>-3.75</v>
      </c>
      <c r="Q13" s="224"/>
      <c r="R13" s="202"/>
      <c r="S13" s="760" t="s">
        <v>27</v>
      </c>
      <c r="T13" s="761"/>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58" t="s">
        <v>29</v>
      </c>
      <c r="G14" s="759">
        <v>0</v>
      </c>
      <c r="H14" s="18">
        <v>0.375</v>
      </c>
      <c r="I14" s="18">
        <v>0.25</v>
      </c>
      <c r="J14" s="14">
        <v>0.25</v>
      </c>
      <c r="K14" s="18">
        <v>0</v>
      </c>
      <c r="L14" s="18">
        <v>-0.375</v>
      </c>
      <c r="M14" s="18">
        <v>-0.5</v>
      </c>
      <c r="N14" s="18">
        <v>-1</v>
      </c>
      <c r="O14" s="18">
        <v>-2.75</v>
      </c>
      <c r="P14" s="19">
        <v>-4.25</v>
      </c>
      <c r="Q14" s="224"/>
      <c r="R14" s="202"/>
      <c r="S14" s="760" t="s">
        <v>30</v>
      </c>
      <c r="T14" s="761"/>
      <c r="U14" s="16" t="s">
        <v>31</v>
      </c>
      <c r="V14" s="198">
        <f>'Feed(WS)'!$O$168</f>
        <v>0</v>
      </c>
      <c r="W14" s="202"/>
      <c r="X14" s="17"/>
      <c r="Y14" s="17"/>
    </row>
    <row r="15" spans="1:25" x14ac:dyDescent="0.25">
      <c r="A15" s="201"/>
      <c r="B15" s="192">
        <v>6.75</v>
      </c>
      <c r="C15" s="20">
        <v>100.414</v>
      </c>
      <c r="D15" s="207"/>
      <c r="E15" s="202"/>
      <c r="F15" s="758" t="s">
        <v>32</v>
      </c>
      <c r="G15" s="759">
        <v>0</v>
      </c>
      <c r="H15" s="18">
        <v>0.25</v>
      </c>
      <c r="I15" s="18">
        <v>0</v>
      </c>
      <c r="J15" s="14">
        <v>0</v>
      </c>
      <c r="K15" s="18">
        <v>-0.375</v>
      </c>
      <c r="L15" s="18">
        <v>-0.5</v>
      </c>
      <c r="M15" s="18">
        <v>-1</v>
      </c>
      <c r="N15" s="18">
        <v>-1.5</v>
      </c>
      <c r="O15" s="18">
        <v>-3.5</v>
      </c>
      <c r="P15" s="19">
        <v>-5</v>
      </c>
      <c r="Q15" s="224"/>
      <c r="R15" s="202"/>
      <c r="S15" s="760" t="s">
        <v>33</v>
      </c>
      <c r="T15" s="761"/>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58" t="s">
        <v>35</v>
      </c>
      <c r="G16" s="759">
        <v>0</v>
      </c>
      <c r="H16" s="18">
        <v>0</v>
      </c>
      <c r="I16" s="18">
        <v>-0.375</v>
      </c>
      <c r="J16" s="14">
        <v>-0.375</v>
      </c>
      <c r="K16" s="18">
        <v>-0.5</v>
      </c>
      <c r="L16" s="18">
        <v>-1</v>
      </c>
      <c r="M16" s="18">
        <v>-1.5</v>
      </c>
      <c r="N16" s="18">
        <v>-2.5</v>
      </c>
      <c r="O16" s="18">
        <v>-4.5</v>
      </c>
      <c r="P16" s="194" t="s">
        <v>642</v>
      </c>
      <c r="Q16" s="224"/>
      <c r="R16" s="202"/>
      <c r="S16" s="760" t="s">
        <v>36</v>
      </c>
      <c r="T16" s="761"/>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58" t="s">
        <v>38</v>
      </c>
      <c r="G17" s="759">
        <v>0</v>
      </c>
      <c r="H17" s="18">
        <v>-0.5</v>
      </c>
      <c r="I17" s="18">
        <v>-0.5</v>
      </c>
      <c r="J17" s="14">
        <v>-0.5</v>
      </c>
      <c r="K17" s="18">
        <v>-1</v>
      </c>
      <c r="L17" s="18">
        <v>-1.5</v>
      </c>
      <c r="M17" s="18">
        <v>-2.25</v>
      </c>
      <c r="N17" s="18">
        <v>-3.25</v>
      </c>
      <c r="O17" s="195" t="s">
        <v>642</v>
      </c>
      <c r="P17" s="194" t="s">
        <v>642</v>
      </c>
      <c r="Q17" s="224"/>
      <c r="R17" s="202"/>
      <c r="S17" s="760" t="s">
        <v>39</v>
      </c>
      <c r="T17" s="761"/>
      <c r="U17" s="16" t="s">
        <v>31</v>
      </c>
      <c r="V17" s="198">
        <v>0</v>
      </c>
      <c r="W17" s="202"/>
      <c r="X17" s="17"/>
      <c r="Y17" s="17"/>
    </row>
    <row r="18" spans="1:25" x14ac:dyDescent="0.25">
      <c r="A18" s="201"/>
      <c r="B18" s="192">
        <v>7.125</v>
      </c>
      <c r="C18" s="20">
        <v>101.539</v>
      </c>
      <c r="D18" s="207"/>
      <c r="E18" s="202"/>
      <c r="F18" s="758" t="s">
        <v>40</v>
      </c>
      <c r="G18" s="759">
        <v>0</v>
      </c>
      <c r="H18" s="18">
        <v>-1</v>
      </c>
      <c r="I18" s="18">
        <v>-1.25</v>
      </c>
      <c r="J18" s="14">
        <v>-1.25</v>
      </c>
      <c r="K18" s="18">
        <v>-1.75</v>
      </c>
      <c r="L18" s="18">
        <v>-2.25</v>
      </c>
      <c r="M18" s="18">
        <v>-3.25</v>
      </c>
      <c r="N18" s="18">
        <v>-4.25</v>
      </c>
      <c r="O18" s="195" t="s">
        <v>642</v>
      </c>
      <c r="P18" s="194" t="s">
        <v>642</v>
      </c>
      <c r="Q18" s="224"/>
      <c r="R18" s="202"/>
      <c r="S18" s="760" t="s">
        <v>41</v>
      </c>
      <c r="T18" s="761"/>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58" t="s">
        <v>42</v>
      </c>
      <c r="G19" s="759">
        <v>0</v>
      </c>
      <c r="H19" s="18">
        <v>-1.75</v>
      </c>
      <c r="I19" s="18">
        <v>-2</v>
      </c>
      <c r="J19" s="14">
        <v>-2</v>
      </c>
      <c r="K19" s="18">
        <v>-2.5</v>
      </c>
      <c r="L19" s="18">
        <v>-3</v>
      </c>
      <c r="M19" s="18">
        <v>-4.25</v>
      </c>
      <c r="N19" s="18">
        <v>-5.25</v>
      </c>
      <c r="O19" s="195" t="s">
        <v>642</v>
      </c>
      <c r="P19" s="194" t="s">
        <v>642</v>
      </c>
      <c r="Q19" s="224"/>
      <c r="R19" s="202"/>
      <c r="S19" s="760" t="s">
        <v>43</v>
      </c>
      <c r="T19" s="761"/>
      <c r="U19" s="16" t="s">
        <v>31</v>
      </c>
      <c r="V19" s="198">
        <f>'Feed(WS)'!$R$163</f>
        <v>0</v>
      </c>
      <c r="W19" s="202"/>
      <c r="X19" s="17"/>
      <c r="Y19" s="17"/>
    </row>
    <row r="20" spans="1:25" ht="15.75" customHeight="1" x14ac:dyDescent="0.25">
      <c r="A20" s="201"/>
      <c r="B20" s="192">
        <v>7.375</v>
      </c>
      <c r="C20" s="20">
        <v>102.25</v>
      </c>
      <c r="D20" s="207"/>
      <c r="E20" s="202"/>
      <c r="F20" s="758" t="s">
        <v>44</v>
      </c>
      <c r="G20" s="759">
        <v>0</v>
      </c>
      <c r="H20" s="18">
        <v>-2.5</v>
      </c>
      <c r="I20" s="18">
        <v>-2.75</v>
      </c>
      <c r="J20" s="14">
        <v>-2.75</v>
      </c>
      <c r="K20" s="18">
        <v>-3.25</v>
      </c>
      <c r="L20" s="18">
        <v>-3.75</v>
      </c>
      <c r="M20" s="18">
        <v>-5.25</v>
      </c>
      <c r="N20" s="18">
        <v>-6.25</v>
      </c>
      <c r="O20" s="195" t="s">
        <v>642</v>
      </c>
      <c r="P20" s="194" t="s">
        <v>642</v>
      </c>
      <c r="Q20" s="224"/>
      <c r="R20" s="202"/>
      <c r="S20" s="760" t="s">
        <v>45</v>
      </c>
      <c r="T20" s="761"/>
      <c r="U20" s="16" t="s">
        <v>31</v>
      </c>
      <c r="V20" s="198">
        <f>'Feed(WS)'!$Q$163</f>
        <v>0</v>
      </c>
      <c r="W20" s="202"/>
      <c r="X20" s="17"/>
      <c r="Y20" s="17"/>
    </row>
    <row r="21" spans="1:25" ht="15.75" customHeight="1" x14ac:dyDescent="0.25">
      <c r="A21" s="201"/>
      <c r="B21" s="192">
        <v>7.4989999999999997</v>
      </c>
      <c r="C21" s="20">
        <v>102.593</v>
      </c>
      <c r="D21" s="207"/>
      <c r="E21" s="202"/>
      <c r="F21" s="769"/>
      <c r="G21" s="770"/>
      <c r="H21" s="770"/>
      <c r="I21" s="770"/>
      <c r="J21" s="770"/>
      <c r="K21" s="770"/>
      <c r="L21" s="770"/>
      <c r="M21" s="770"/>
      <c r="N21" s="770"/>
      <c r="O21" s="770"/>
      <c r="P21" s="771"/>
      <c r="Q21" s="224"/>
      <c r="R21" s="202"/>
      <c r="S21" s="760" t="s">
        <v>46</v>
      </c>
      <c r="T21" s="761"/>
      <c r="U21" s="16" t="s">
        <v>31</v>
      </c>
      <c r="V21" s="198" t="e">
        <f>IF(OR($U$11="", $U$21=""), "",
   INDEX($H$38:$P$47,
         MATCH($U$21,$F$38:$F$47,0),
         MATCH($U$11,$H$10:$P$10,0)))</f>
        <v>#N/A</v>
      </c>
      <c r="W21" s="202"/>
      <c r="X21" s="17"/>
    </row>
    <row r="22" spans="1:25" x14ac:dyDescent="0.25">
      <c r="A22" s="201"/>
      <c r="B22" s="192">
        <v>7.625</v>
      </c>
      <c r="C22" s="20">
        <v>102.93</v>
      </c>
      <c r="D22" s="207"/>
      <c r="E22" s="202"/>
      <c r="F22" s="819" t="s">
        <v>27</v>
      </c>
      <c r="G22" s="820"/>
      <c r="H22" s="820"/>
      <c r="I22" s="820"/>
      <c r="J22" s="820"/>
      <c r="K22" s="820"/>
      <c r="L22" s="820"/>
      <c r="M22" s="820"/>
      <c r="N22" s="820"/>
      <c r="O22" s="820"/>
      <c r="P22" s="821"/>
      <c r="Q22" s="202"/>
      <c r="R22" s="202"/>
      <c r="S22" s="760" t="s">
        <v>47</v>
      </c>
      <c r="T22" s="761"/>
      <c r="U22" s="16" t="s">
        <v>31</v>
      </c>
      <c r="V22" s="198" t="e">
        <f>IF(OR($U$11="", $U$22=""), "",
   INDEX($H$32:$P$36,
         MATCH($U$22,$F$32:$F$36,0),
         MATCH($U$11,$H$10:$P$10,0)))</f>
        <v>#N/A</v>
      </c>
      <c r="W22" s="202"/>
    </row>
    <row r="23" spans="1:25" ht="15.75" customHeight="1" x14ac:dyDescent="0.25">
      <c r="A23" s="201"/>
      <c r="B23" s="192">
        <v>7.75</v>
      </c>
      <c r="C23" s="20">
        <v>103.258</v>
      </c>
      <c r="D23" s="207"/>
      <c r="E23" s="202"/>
      <c r="F23" s="652" t="s">
        <v>48</v>
      </c>
      <c r="G23" s="653"/>
      <c r="H23" s="21">
        <v>0.5</v>
      </c>
      <c r="I23" s="21">
        <v>0.5</v>
      </c>
      <c r="J23" s="21">
        <v>0.5</v>
      </c>
      <c r="K23" s="21">
        <v>0.5</v>
      </c>
      <c r="L23" s="21">
        <v>0.5</v>
      </c>
      <c r="M23" s="21">
        <v>0.5</v>
      </c>
      <c r="N23" s="21">
        <v>0.5</v>
      </c>
      <c r="O23" s="21">
        <v>0.5</v>
      </c>
      <c r="P23" s="22" t="s">
        <v>642</v>
      </c>
      <c r="Q23" s="202"/>
      <c r="R23" s="202"/>
      <c r="S23" s="760" t="s">
        <v>49</v>
      </c>
      <c r="T23" s="761"/>
      <c r="U23" s="16" t="s">
        <v>31</v>
      </c>
      <c r="V23" s="198">
        <f>'Feed(WS)'!$P$168</f>
        <v>0</v>
      </c>
      <c r="W23" s="202"/>
      <c r="Y23" s="23"/>
    </row>
    <row r="24" spans="1:25" ht="15.75" customHeight="1" x14ac:dyDescent="0.25">
      <c r="A24" s="201"/>
      <c r="B24" s="192">
        <v>7.875</v>
      </c>
      <c r="C24" s="20">
        <v>103.578125</v>
      </c>
      <c r="D24" s="207"/>
      <c r="E24" s="202"/>
      <c r="F24" s="652" t="s">
        <v>28</v>
      </c>
      <c r="G24" s="653"/>
      <c r="H24" s="21">
        <v>0</v>
      </c>
      <c r="I24" s="21">
        <v>0</v>
      </c>
      <c r="J24" s="21">
        <v>0</v>
      </c>
      <c r="K24" s="21">
        <v>0</v>
      </c>
      <c r="L24" s="21">
        <v>0</v>
      </c>
      <c r="M24" s="21">
        <v>0</v>
      </c>
      <c r="N24" s="21">
        <v>0</v>
      </c>
      <c r="O24" s="21">
        <v>0</v>
      </c>
      <c r="P24" s="22">
        <v>0</v>
      </c>
      <c r="Q24" s="202"/>
      <c r="R24" s="202"/>
      <c r="S24" s="760" t="s">
        <v>50</v>
      </c>
      <c r="T24" s="761"/>
      <c r="U24" s="16" t="s">
        <v>31</v>
      </c>
      <c r="V24" s="198">
        <f>'Feed(WS)'!$P$163</f>
        <v>0</v>
      </c>
      <c r="W24" s="202"/>
      <c r="Y24" s="23"/>
    </row>
    <row r="25" spans="1:25" ht="15.75" customHeight="1" x14ac:dyDescent="0.25">
      <c r="A25" s="201"/>
      <c r="B25" s="192">
        <v>7.9989999999999997</v>
      </c>
      <c r="C25" s="20">
        <v>103.859375</v>
      </c>
      <c r="D25" s="207"/>
      <c r="E25" s="202"/>
      <c r="F25" s="819" t="s">
        <v>51</v>
      </c>
      <c r="G25" s="820"/>
      <c r="H25" s="820"/>
      <c r="I25" s="820"/>
      <c r="J25" s="820"/>
      <c r="K25" s="820"/>
      <c r="L25" s="820"/>
      <c r="M25" s="820"/>
      <c r="N25" s="820"/>
      <c r="O25" s="820"/>
      <c r="P25" s="821"/>
      <c r="Q25" s="202"/>
      <c r="R25" s="202"/>
      <c r="S25" s="760" t="s">
        <v>52</v>
      </c>
      <c r="T25" s="761"/>
      <c r="U25" s="16" t="s">
        <v>53</v>
      </c>
      <c r="V25" s="198" t="e">
        <f>'Feed(WS)'!$O$163</f>
        <v>#N/A</v>
      </c>
      <c r="W25" s="202"/>
    </row>
    <row r="26" spans="1:25" x14ac:dyDescent="0.25">
      <c r="A26" s="201"/>
      <c r="B26" s="192">
        <v>8.125</v>
      </c>
      <c r="C26" s="20">
        <v>104.109375</v>
      </c>
      <c r="D26" s="207"/>
      <c r="E26" s="202"/>
      <c r="F26" s="652" t="s">
        <v>54</v>
      </c>
      <c r="G26" s="653"/>
      <c r="H26" s="21">
        <v>-0.25</v>
      </c>
      <c r="I26" s="21">
        <v>-0.25</v>
      </c>
      <c r="J26" s="21">
        <v>-0.25</v>
      </c>
      <c r="K26" s="21">
        <v>-0.25</v>
      </c>
      <c r="L26" s="21">
        <v>-0.25</v>
      </c>
      <c r="M26" s="21">
        <v>-0.25</v>
      </c>
      <c r="N26" s="21">
        <v>-0.25</v>
      </c>
      <c r="O26" s="21">
        <v>-0.25</v>
      </c>
      <c r="P26" s="22">
        <v>-0.25</v>
      </c>
      <c r="Q26" s="202"/>
      <c r="R26" s="202"/>
      <c r="S26" s="760" t="s">
        <v>55</v>
      </c>
      <c r="T26" s="761"/>
      <c r="U26" s="16" t="s">
        <v>56</v>
      </c>
      <c r="V26" s="198" t="e">
        <f>'Feed(WS)'!$Q$168</f>
        <v>#N/A</v>
      </c>
      <c r="W26" s="202"/>
    </row>
    <row r="27" spans="1:25" ht="15.75" customHeight="1" x14ac:dyDescent="0.25">
      <c r="A27" s="201"/>
      <c r="B27" s="192">
        <v>8.25</v>
      </c>
      <c r="C27" s="20">
        <v>104.359375</v>
      </c>
      <c r="D27" s="207"/>
      <c r="E27" s="202"/>
      <c r="F27" s="652" t="s">
        <v>57</v>
      </c>
      <c r="G27" s="653"/>
      <c r="H27" s="21">
        <v>-0.25</v>
      </c>
      <c r="I27" s="21">
        <v>-0.25</v>
      </c>
      <c r="J27" s="21">
        <v>-0.25</v>
      </c>
      <c r="K27" s="21">
        <v>-0.25</v>
      </c>
      <c r="L27" s="21">
        <v>-0.25</v>
      </c>
      <c r="M27" s="21">
        <v>-0.25</v>
      </c>
      <c r="N27" s="21">
        <v>-0.25</v>
      </c>
      <c r="O27" s="21">
        <v>-0.25</v>
      </c>
      <c r="P27" s="22">
        <v>-0.5</v>
      </c>
      <c r="Q27" s="202"/>
      <c r="R27" s="202"/>
      <c r="S27" s="760" t="s">
        <v>58</v>
      </c>
      <c r="T27" s="761"/>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52" t="s">
        <v>59</v>
      </c>
      <c r="G28" s="653"/>
      <c r="H28" s="21">
        <v>-0.125</v>
      </c>
      <c r="I28" s="21">
        <v>-0.25</v>
      </c>
      <c r="J28" s="21">
        <v>-0.25</v>
      </c>
      <c r="K28" s="21">
        <v>-0.25</v>
      </c>
      <c r="L28" s="21">
        <v>-0.375</v>
      </c>
      <c r="M28" s="21">
        <v>-0.5</v>
      </c>
      <c r="N28" s="21">
        <v>-1</v>
      </c>
      <c r="O28" s="21" t="s">
        <v>642</v>
      </c>
      <c r="P28" s="22" t="s">
        <v>642</v>
      </c>
      <c r="Q28" s="202"/>
      <c r="R28" s="202"/>
      <c r="S28" s="760" t="s">
        <v>60</v>
      </c>
      <c r="T28" s="761"/>
      <c r="U28" s="16"/>
      <c r="V28" s="198">
        <v>0</v>
      </c>
      <c r="W28" s="202"/>
      <c r="X28" s="3"/>
    </row>
    <row r="29" spans="1:25" x14ac:dyDescent="0.25">
      <c r="A29" s="201"/>
      <c r="B29" s="192">
        <v>8.4990000000000006</v>
      </c>
      <c r="C29" s="20">
        <v>104.859375</v>
      </c>
      <c r="D29" s="207"/>
      <c r="E29" s="202"/>
      <c r="F29" s="652" t="s">
        <v>61</v>
      </c>
      <c r="G29" s="653"/>
      <c r="H29" s="21">
        <v>-0.125</v>
      </c>
      <c r="I29" s="21">
        <v>-0.25</v>
      </c>
      <c r="J29" s="21">
        <v>-0.25</v>
      </c>
      <c r="K29" s="21">
        <v>-0.25</v>
      </c>
      <c r="L29" s="21">
        <v>-0.25</v>
      </c>
      <c r="M29" s="21">
        <v>-0.25</v>
      </c>
      <c r="N29" s="21">
        <v>-0.375</v>
      </c>
      <c r="O29" s="21">
        <v>-0.375</v>
      </c>
      <c r="P29" s="22">
        <v>-0.375</v>
      </c>
      <c r="Q29" s="202"/>
      <c r="R29" s="202"/>
      <c r="S29" s="760" t="s">
        <v>62</v>
      </c>
      <c r="T29" s="761"/>
      <c r="U29" s="16" t="s">
        <v>31</v>
      </c>
      <c r="V29" s="198">
        <v>0</v>
      </c>
      <c r="W29" s="202"/>
      <c r="X29" s="24"/>
    </row>
    <row r="30" spans="1:25" x14ac:dyDescent="0.25">
      <c r="A30" s="201"/>
      <c r="B30" s="192">
        <v>8.625</v>
      </c>
      <c r="C30" s="20">
        <v>105.109375</v>
      </c>
      <c r="D30" s="207"/>
      <c r="E30" s="202"/>
      <c r="F30" s="652" t="s">
        <v>63</v>
      </c>
      <c r="G30" s="653"/>
      <c r="H30" s="21">
        <v>-0.75</v>
      </c>
      <c r="I30" s="21">
        <v>-0.75</v>
      </c>
      <c r="J30" s="21">
        <v>-0.75</v>
      </c>
      <c r="K30" s="21">
        <v>-0.75</v>
      </c>
      <c r="L30" s="21">
        <v>-0.75</v>
      </c>
      <c r="M30" s="21">
        <v>-0.75</v>
      </c>
      <c r="N30" s="21">
        <v>-0.75</v>
      </c>
      <c r="O30" s="21" t="s">
        <v>642</v>
      </c>
      <c r="P30" s="22" t="s">
        <v>642</v>
      </c>
      <c r="Q30" s="202"/>
      <c r="R30" s="202"/>
      <c r="S30" s="760" t="s">
        <v>64</v>
      </c>
      <c r="T30" s="761"/>
      <c r="U30" s="25" t="s">
        <v>65</v>
      </c>
      <c r="V30" s="198" t="e">
        <f>'Feed(WS)'!$R$168</f>
        <v>#N/A</v>
      </c>
      <c r="W30" s="202"/>
    </row>
    <row r="31" spans="1:25" x14ac:dyDescent="0.25">
      <c r="A31" s="201"/>
      <c r="B31" s="192">
        <v>8.75</v>
      </c>
      <c r="C31" s="20">
        <v>105.296875</v>
      </c>
      <c r="D31" s="207"/>
      <c r="E31" s="202"/>
      <c r="F31" s="819" t="s">
        <v>47</v>
      </c>
      <c r="G31" s="820"/>
      <c r="H31" s="820"/>
      <c r="I31" s="820"/>
      <c r="J31" s="820"/>
      <c r="K31" s="820"/>
      <c r="L31" s="820"/>
      <c r="M31" s="820"/>
      <c r="N31" s="820"/>
      <c r="O31" s="820"/>
      <c r="P31" s="821"/>
      <c r="Q31" s="202"/>
      <c r="R31" s="202"/>
      <c r="S31" s="760" t="s">
        <v>66</v>
      </c>
      <c r="T31" s="761"/>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52" t="s">
        <v>68</v>
      </c>
      <c r="G32" s="653"/>
      <c r="H32" s="21">
        <v>0</v>
      </c>
      <c r="I32" s="21">
        <v>0</v>
      </c>
      <c r="J32" s="21">
        <v>0</v>
      </c>
      <c r="K32" s="21">
        <v>0</v>
      </c>
      <c r="L32" s="21">
        <v>0</v>
      </c>
      <c r="M32" s="21">
        <v>0</v>
      </c>
      <c r="N32" s="21">
        <v>0</v>
      </c>
      <c r="O32" s="21">
        <v>0</v>
      </c>
      <c r="P32" s="22">
        <v>0</v>
      </c>
      <c r="Q32" s="202"/>
      <c r="R32" s="202"/>
      <c r="S32" s="760" t="s">
        <v>69</v>
      </c>
      <c r="T32" s="761"/>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52" t="s">
        <v>70</v>
      </c>
      <c r="G33" s="653"/>
      <c r="H33" s="21">
        <v>0</v>
      </c>
      <c r="I33" s="21">
        <v>0</v>
      </c>
      <c r="J33" s="21">
        <v>0</v>
      </c>
      <c r="K33" s="21">
        <v>0</v>
      </c>
      <c r="L33" s="21">
        <v>-0.25</v>
      </c>
      <c r="M33" s="21">
        <v>-0.25</v>
      </c>
      <c r="N33" s="21">
        <v>-0.25</v>
      </c>
      <c r="O33" s="21">
        <v>-0.25</v>
      </c>
      <c r="P33" s="22" t="s">
        <v>642</v>
      </c>
      <c r="Q33" s="202"/>
      <c r="R33" s="202"/>
      <c r="S33" s="760" t="s">
        <v>73</v>
      </c>
      <c r="T33" s="761"/>
      <c r="U33" s="26" t="str">
        <f>IF(ISNA(V33),"Yes",IF(V33=0,"No",""))</f>
        <v>No</v>
      </c>
      <c r="V33" s="198">
        <f>'Feed(WS)'!$B$67</f>
        <v>0</v>
      </c>
      <c r="W33" s="202"/>
    </row>
    <row r="34" spans="1:25" x14ac:dyDescent="0.25">
      <c r="A34" s="201"/>
      <c r="B34" s="192">
        <v>9.125</v>
      </c>
      <c r="C34" s="20">
        <v>105.859375</v>
      </c>
      <c r="D34" s="207"/>
      <c r="E34" s="202"/>
      <c r="F34" s="652" t="s">
        <v>72</v>
      </c>
      <c r="G34" s="653"/>
      <c r="H34" s="21">
        <v>0</v>
      </c>
      <c r="I34" s="21">
        <v>-0.125</v>
      </c>
      <c r="J34" s="21">
        <v>-0.125</v>
      </c>
      <c r="K34" s="21">
        <v>-0.125</v>
      </c>
      <c r="L34" s="21">
        <v>-0.25</v>
      </c>
      <c r="M34" s="21">
        <v>-0.5</v>
      </c>
      <c r="N34" s="21">
        <v>-0.75</v>
      </c>
      <c r="O34" s="21" t="s">
        <v>642</v>
      </c>
      <c r="P34" s="22" t="s">
        <v>642</v>
      </c>
      <c r="Q34" s="202"/>
      <c r="R34" s="202"/>
      <c r="S34" s="760" t="s">
        <v>73</v>
      </c>
      <c r="T34" s="761"/>
      <c r="U34" s="26" t="s">
        <v>74</v>
      </c>
      <c r="V34" s="198">
        <v>0</v>
      </c>
      <c r="W34" s="202"/>
    </row>
    <row r="35" spans="1:25" ht="15.75" customHeight="1" x14ac:dyDescent="0.25">
      <c r="A35" s="201"/>
      <c r="B35" s="192">
        <v>9.25</v>
      </c>
      <c r="C35" s="20">
        <v>106.046875</v>
      </c>
      <c r="D35" s="207"/>
      <c r="E35" s="202"/>
      <c r="F35" s="652" t="s">
        <v>75</v>
      </c>
      <c r="G35" s="653"/>
      <c r="H35" s="21">
        <v>-0.25</v>
      </c>
      <c r="I35" s="21">
        <v>-0.25</v>
      </c>
      <c r="J35" s="21">
        <v>-0.25</v>
      </c>
      <c r="K35" s="21">
        <v>-0.25</v>
      </c>
      <c r="L35" s="21">
        <v>-0.25</v>
      </c>
      <c r="M35" s="21">
        <v>-0.5</v>
      </c>
      <c r="N35" s="21">
        <v>-0.5</v>
      </c>
      <c r="O35" s="21" t="s">
        <v>642</v>
      </c>
      <c r="P35" s="22" t="s">
        <v>642</v>
      </c>
      <c r="Q35" s="202"/>
      <c r="R35" s="202"/>
      <c r="S35" s="760" t="s">
        <v>207</v>
      </c>
      <c r="T35" s="761"/>
      <c r="U35" s="26" t="e">
        <f>IF(V36=0,'Feed(WS)'!Y4,'Feed(WS)'!Y5)</f>
        <v>#N/A</v>
      </c>
      <c r="V35" s="198" t="b">
        <f>'Feed(WS)'!$Z$1</f>
        <v>0</v>
      </c>
      <c r="W35" s="202"/>
    </row>
    <row r="36" spans="1:25" x14ac:dyDescent="0.25">
      <c r="A36" s="201"/>
      <c r="B36" s="192">
        <v>9.375</v>
      </c>
      <c r="C36" s="20">
        <v>106.234375</v>
      </c>
      <c r="D36" s="207"/>
      <c r="E36" s="202"/>
      <c r="F36" s="652" t="s">
        <v>76</v>
      </c>
      <c r="G36" s="653"/>
      <c r="H36" s="21">
        <v>-0.5</v>
      </c>
      <c r="I36" s="21">
        <v>-0.5</v>
      </c>
      <c r="J36" s="21">
        <v>-0.5</v>
      </c>
      <c r="K36" s="21">
        <v>-0.5</v>
      </c>
      <c r="L36" s="21">
        <v>-0.5</v>
      </c>
      <c r="M36" s="21">
        <v>-0.75</v>
      </c>
      <c r="N36" s="21" t="s">
        <v>642</v>
      </c>
      <c r="O36" s="21" t="s">
        <v>642</v>
      </c>
      <c r="P36" s="22" t="s">
        <v>642</v>
      </c>
      <c r="Q36" s="202"/>
      <c r="R36" s="202"/>
      <c r="S36" s="763" t="s">
        <v>77</v>
      </c>
      <c r="T36" s="764"/>
      <c r="U36" s="765"/>
      <c r="V36" s="199" t="e">
        <f>SUM($V$12:$V$35)</f>
        <v>#N/A</v>
      </c>
      <c r="W36" s="202"/>
    </row>
    <row r="37" spans="1:25" ht="15.75" customHeight="1" x14ac:dyDescent="0.25">
      <c r="A37" s="201"/>
      <c r="B37" s="192">
        <v>9.4990000000000006</v>
      </c>
      <c r="C37" s="20">
        <v>106.421875</v>
      </c>
      <c r="D37" s="207"/>
      <c r="E37" s="202"/>
      <c r="F37" s="819" t="s">
        <v>78</v>
      </c>
      <c r="G37" s="820"/>
      <c r="H37" s="820"/>
      <c r="I37" s="820"/>
      <c r="J37" s="820"/>
      <c r="K37" s="820"/>
      <c r="L37" s="820"/>
      <c r="M37" s="820"/>
      <c r="N37" s="820"/>
      <c r="O37" s="820"/>
      <c r="P37" s="821"/>
      <c r="Q37" s="225"/>
      <c r="R37" s="202"/>
      <c r="S37" s="763" t="s">
        <v>79</v>
      </c>
      <c r="T37" s="764"/>
      <c r="U37" s="765"/>
      <c r="V37" s="199" t="str">
        <f>_xlfn.XLOOKUP($U$10, $B$10:$B$50, $C$10:$C$50, "#N/A")</f>
        <v>#N/A</v>
      </c>
      <c r="W37" s="202"/>
      <c r="Y37" s="24"/>
    </row>
    <row r="38" spans="1:25" ht="15.75" customHeight="1" x14ac:dyDescent="0.25">
      <c r="A38" s="201"/>
      <c r="B38" s="192">
        <v>9.625</v>
      </c>
      <c r="C38" s="20">
        <v>106.609375</v>
      </c>
      <c r="D38" s="207"/>
      <c r="E38" s="202"/>
      <c r="F38" s="652" t="s">
        <v>80</v>
      </c>
      <c r="G38" s="653"/>
      <c r="H38" s="21">
        <v>-0.5</v>
      </c>
      <c r="I38" s="21">
        <v>-0.625</v>
      </c>
      <c r="J38" s="21">
        <v>-0.625</v>
      </c>
      <c r="K38" s="21">
        <v>-0.75</v>
      </c>
      <c r="L38" s="21">
        <v>-0.75</v>
      </c>
      <c r="M38" s="21">
        <v>-0.875</v>
      </c>
      <c r="N38" s="21">
        <v>-1</v>
      </c>
      <c r="O38" s="21">
        <v>-1.5</v>
      </c>
      <c r="P38" s="22">
        <v>-1.5</v>
      </c>
      <c r="Q38" s="202"/>
      <c r="R38" s="202"/>
      <c r="S38" s="763" t="s">
        <v>81</v>
      </c>
      <c r="T38" s="764"/>
      <c r="U38" s="765"/>
      <c r="V38" s="199" t="str">
        <f>IFERROR(IF(AND($U$10&lt;&gt;'Feed(WS)'!$K$134,$V$39=$T$64),NA(),$V$37+$V$36),"#N/A")</f>
        <v>#N/A</v>
      </c>
      <c r="W38" s="202"/>
    </row>
    <row r="39" spans="1:25" x14ac:dyDescent="0.25">
      <c r="A39" s="201"/>
      <c r="B39" s="192">
        <v>9.75</v>
      </c>
      <c r="C39" s="20">
        <v>106.796875</v>
      </c>
      <c r="D39" s="207"/>
      <c r="E39" s="202"/>
      <c r="F39" s="652" t="s">
        <v>82</v>
      </c>
      <c r="G39" s="653"/>
      <c r="H39" s="21">
        <v>0</v>
      </c>
      <c r="I39" s="21">
        <v>0</v>
      </c>
      <c r="J39" s="21">
        <v>0</v>
      </c>
      <c r="K39" s="21">
        <v>0</v>
      </c>
      <c r="L39" s="21">
        <v>0</v>
      </c>
      <c r="M39" s="21">
        <v>0</v>
      </c>
      <c r="N39" s="21">
        <v>0</v>
      </c>
      <c r="O39" s="21">
        <v>-0.25</v>
      </c>
      <c r="P39" s="22">
        <v>-0.5</v>
      </c>
      <c r="Q39" s="202"/>
      <c r="R39" s="202"/>
      <c r="S39" s="763" t="s">
        <v>83</v>
      </c>
      <c r="T39" s="764"/>
      <c r="U39" s="765"/>
      <c r="V39" s="199" t="e">
        <f>IF(OR('Feed(WS)'!$E$147=0, ISERROR('Feed(WS)'!$E$147)), NA(), 'Feed(WS)'!$E$147)</f>
        <v>#N/A</v>
      </c>
      <c r="W39" s="202"/>
    </row>
    <row r="40" spans="1:25" ht="14.25" customHeight="1" x14ac:dyDescent="0.25">
      <c r="A40" s="201"/>
      <c r="B40" s="192">
        <v>9.875</v>
      </c>
      <c r="C40" s="20">
        <v>106.921875</v>
      </c>
      <c r="D40" s="207"/>
      <c r="E40" s="202"/>
      <c r="F40" s="652" t="s">
        <v>84</v>
      </c>
      <c r="G40" s="653"/>
      <c r="H40" s="21">
        <v>0</v>
      </c>
      <c r="I40" s="21">
        <v>0</v>
      </c>
      <c r="J40" s="21">
        <v>0</v>
      </c>
      <c r="K40" s="21">
        <v>0</v>
      </c>
      <c r="L40" s="21">
        <v>0</v>
      </c>
      <c r="M40" s="21">
        <v>0</v>
      </c>
      <c r="N40" s="21">
        <v>0</v>
      </c>
      <c r="O40" s="21">
        <v>0</v>
      </c>
      <c r="P40" s="22">
        <v>0</v>
      </c>
      <c r="Q40" s="202"/>
      <c r="R40" s="202"/>
      <c r="S40" s="766" t="s">
        <v>85</v>
      </c>
      <c r="T40" s="767"/>
      <c r="U40" s="768"/>
      <c r="V40" s="200" t="e">
        <f>IF(OR($V$36="#NA",$V$37="#NA"),NA(),IF(AND($U$9&lt;&gt;'Feed(WS)'!$K$134,$V$39=$T$64),NA(),IF($V$38&gt;$V$39,$V$39,$V$38)))</f>
        <v>#N/A</v>
      </c>
      <c r="W40" s="202"/>
    </row>
    <row r="41" spans="1:25" ht="14.25" customHeight="1" x14ac:dyDescent="0.25">
      <c r="A41" s="201"/>
      <c r="B41" s="192">
        <v>9.9990000000000006</v>
      </c>
      <c r="C41" s="20">
        <v>107.046875</v>
      </c>
      <c r="D41" s="207"/>
      <c r="E41" s="202"/>
      <c r="F41" s="645" t="s">
        <v>86</v>
      </c>
      <c r="G41" s="646"/>
      <c r="H41" s="21">
        <v>0.375</v>
      </c>
      <c r="I41" s="21">
        <v>0.375</v>
      </c>
      <c r="J41" s="21">
        <v>0.25</v>
      </c>
      <c r="K41" s="21">
        <v>0.25</v>
      </c>
      <c r="L41" s="21">
        <v>0.25</v>
      </c>
      <c r="M41" s="21">
        <v>0.25</v>
      </c>
      <c r="N41" s="21">
        <v>0.25</v>
      </c>
      <c r="O41" s="21">
        <v>0</v>
      </c>
      <c r="P41" s="22">
        <v>0</v>
      </c>
      <c r="Q41" s="202"/>
      <c r="R41" s="202"/>
      <c r="S41" s="766" t="str" cm="1">
        <f t="array" ref="S41">IF(OR($U$11:$U$25="Choose a Selection"),"",CONCATENATE('Feed(WS)'!$I$134," ",'Feed(WS)'!$K$134,"%"&amp;" @ "&amp;'Feed(WS)'!$L$134))</f>
        <v/>
      </c>
      <c r="T41" s="767"/>
      <c r="U41" s="767"/>
      <c r="V41" s="774"/>
      <c r="W41" s="202"/>
    </row>
    <row r="42" spans="1:25" ht="15.75" customHeight="1" x14ac:dyDescent="0.25">
      <c r="A42" s="201"/>
      <c r="B42" s="192">
        <v>10.125</v>
      </c>
      <c r="C42" s="20">
        <v>107.171875</v>
      </c>
      <c r="D42" s="207"/>
      <c r="E42" s="202"/>
      <c r="F42" s="645" t="s">
        <v>87</v>
      </c>
      <c r="G42" s="646"/>
      <c r="H42" s="21">
        <v>0</v>
      </c>
      <c r="I42" s="21">
        <v>0</v>
      </c>
      <c r="J42" s="21">
        <v>0</v>
      </c>
      <c r="K42" s="21">
        <v>0</v>
      </c>
      <c r="L42" s="21">
        <v>0</v>
      </c>
      <c r="M42" s="21">
        <v>0</v>
      </c>
      <c r="N42" s="21">
        <v>0</v>
      </c>
      <c r="O42" s="21">
        <v>0</v>
      </c>
      <c r="P42" s="22">
        <v>0</v>
      </c>
      <c r="Q42" s="202"/>
      <c r="R42" s="202"/>
      <c r="S42" s="822" t="s">
        <v>88</v>
      </c>
      <c r="T42" s="822"/>
      <c r="U42" s="822"/>
      <c r="V42" s="823"/>
      <c r="W42" s="202"/>
    </row>
    <row r="43" spans="1:25" ht="14.25" customHeight="1" x14ac:dyDescent="0.25">
      <c r="A43" s="201"/>
      <c r="B43" s="192">
        <v>10.25</v>
      </c>
      <c r="C43" s="20">
        <v>107.296875</v>
      </c>
      <c r="D43" s="207"/>
      <c r="E43" s="202"/>
      <c r="F43" s="645" t="s">
        <v>89</v>
      </c>
      <c r="G43" s="646"/>
      <c r="H43" s="21">
        <v>-0.25</v>
      </c>
      <c r="I43" s="21">
        <v>-0.25</v>
      </c>
      <c r="J43" s="21">
        <v>-0.25</v>
      </c>
      <c r="K43" s="21">
        <v>-0.25</v>
      </c>
      <c r="L43" s="21">
        <v>-0.25</v>
      </c>
      <c r="M43" s="21">
        <v>-0.25</v>
      </c>
      <c r="N43" s="21">
        <v>-0.25</v>
      </c>
      <c r="O43" s="21">
        <v>-0.25</v>
      </c>
      <c r="P43" s="22" t="s">
        <v>642</v>
      </c>
      <c r="Q43" s="226"/>
      <c r="R43" s="202"/>
      <c r="S43" s="824"/>
      <c r="T43" s="824"/>
      <c r="U43" s="824"/>
      <c r="V43" s="825"/>
      <c r="W43" s="202"/>
    </row>
    <row r="44" spans="1:25" ht="15.75" customHeight="1" x14ac:dyDescent="0.25">
      <c r="A44" s="201"/>
      <c r="B44" s="192">
        <v>10.375</v>
      </c>
      <c r="C44" s="20">
        <v>107.421875</v>
      </c>
      <c r="D44" s="207"/>
      <c r="E44" s="202"/>
      <c r="F44" s="645" t="s">
        <v>90</v>
      </c>
      <c r="G44" s="646"/>
      <c r="H44" s="21">
        <v>-0.5</v>
      </c>
      <c r="I44" s="21">
        <v>-0.5</v>
      </c>
      <c r="J44" s="21">
        <v>-0.5</v>
      </c>
      <c r="K44" s="21">
        <v>-0.5</v>
      </c>
      <c r="L44" s="21">
        <v>-0.5</v>
      </c>
      <c r="M44" s="21">
        <v>-0.5</v>
      </c>
      <c r="N44" s="21">
        <v>-0.5</v>
      </c>
      <c r="O44" s="21" t="s">
        <v>642</v>
      </c>
      <c r="P44" s="22" t="s">
        <v>642</v>
      </c>
      <c r="Q44" s="202"/>
      <c r="R44" s="202"/>
      <c r="S44" s="824"/>
      <c r="T44" s="824"/>
      <c r="U44" s="824"/>
      <c r="V44" s="825"/>
      <c r="W44" s="202"/>
    </row>
    <row r="45" spans="1:25" ht="14.25" customHeight="1" x14ac:dyDescent="0.25">
      <c r="A45" s="201"/>
      <c r="B45" s="192">
        <v>10.499000000000001</v>
      </c>
      <c r="C45" s="20">
        <v>107.546875</v>
      </c>
      <c r="D45" s="207"/>
      <c r="E45" s="202"/>
      <c r="F45" s="645" t="s">
        <v>91</v>
      </c>
      <c r="G45" s="646"/>
      <c r="H45" s="21">
        <v>-1</v>
      </c>
      <c r="I45" s="21">
        <v>-1</v>
      </c>
      <c r="J45" s="21">
        <v>-1</v>
      </c>
      <c r="K45" s="21">
        <v>-1</v>
      </c>
      <c r="L45" s="21">
        <v>-1</v>
      </c>
      <c r="M45" s="21">
        <v>-1</v>
      </c>
      <c r="N45" s="21">
        <v>-1</v>
      </c>
      <c r="O45" s="21" t="s">
        <v>642</v>
      </c>
      <c r="P45" s="22" t="s">
        <v>642</v>
      </c>
      <c r="Q45" s="202"/>
      <c r="R45" s="202"/>
      <c r="S45" s="824"/>
      <c r="T45" s="824"/>
      <c r="U45" s="824"/>
      <c r="V45" s="825"/>
      <c r="W45" s="202"/>
    </row>
    <row r="46" spans="1:25" ht="14.25" customHeight="1" x14ac:dyDescent="0.25">
      <c r="A46" s="201"/>
      <c r="B46" s="192">
        <v>10.625</v>
      </c>
      <c r="C46" s="20">
        <v>107.671875</v>
      </c>
      <c r="D46" s="207"/>
      <c r="E46" s="202"/>
      <c r="F46" s="645" t="s">
        <v>92</v>
      </c>
      <c r="G46" s="646"/>
      <c r="H46" s="21">
        <v>-2</v>
      </c>
      <c r="I46" s="21">
        <v>-2</v>
      </c>
      <c r="J46" s="21">
        <v>-2</v>
      </c>
      <c r="K46" s="21">
        <v>-2</v>
      </c>
      <c r="L46" s="21">
        <v>-2</v>
      </c>
      <c r="M46" s="21" t="s">
        <v>642</v>
      </c>
      <c r="N46" s="21" t="s">
        <v>642</v>
      </c>
      <c r="O46" s="21" t="s">
        <v>642</v>
      </c>
      <c r="P46" s="22" t="s">
        <v>642</v>
      </c>
      <c r="Q46" s="202"/>
      <c r="R46" s="202"/>
      <c r="S46" s="829"/>
      <c r="T46" s="829"/>
      <c r="U46" s="829"/>
      <c r="V46" s="830"/>
      <c r="W46" s="202"/>
    </row>
    <row r="47" spans="1:25" ht="14.25" customHeight="1" x14ac:dyDescent="0.25">
      <c r="A47" s="201"/>
      <c r="B47" s="192">
        <v>10.75</v>
      </c>
      <c r="C47" s="20">
        <v>107.796875</v>
      </c>
      <c r="D47" s="207"/>
      <c r="E47" s="202"/>
      <c r="F47" s="645" t="s">
        <v>93</v>
      </c>
      <c r="G47" s="646"/>
      <c r="H47" s="21">
        <v>-3</v>
      </c>
      <c r="I47" s="21">
        <v>-3</v>
      </c>
      <c r="J47" s="21">
        <v>-3</v>
      </c>
      <c r="K47" s="21">
        <v>-3</v>
      </c>
      <c r="L47" s="21" t="s">
        <v>642</v>
      </c>
      <c r="M47" s="21" t="s">
        <v>642</v>
      </c>
      <c r="N47" s="21" t="s">
        <v>642</v>
      </c>
      <c r="O47" s="21" t="s">
        <v>642</v>
      </c>
      <c r="P47" s="22" t="s">
        <v>642</v>
      </c>
      <c r="Q47" s="202"/>
      <c r="R47" s="202"/>
      <c r="S47" s="822" t="s">
        <v>94</v>
      </c>
      <c r="T47" s="822"/>
      <c r="U47" s="822"/>
      <c r="V47" s="823"/>
      <c r="W47" s="202"/>
    </row>
    <row r="48" spans="1:25" ht="15.75" customHeight="1" x14ac:dyDescent="0.25">
      <c r="A48" s="201"/>
      <c r="B48" s="192">
        <v>10.875</v>
      </c>
      <c r="C48" s="20">
        <v>107.921875</v>
      </c>
      <c r="D48" s="207"/>
      <c r="E48" s="202"/>
      <c r="F48" s="819" t="s">
        <v>95</v>
      </c>
      <c r="G48" s="820"/>
      <c r="H48" s="820"/>
      <c r="I48" s="820"/>
      <c r="J48" s="820"/>
      <c r="K48" s="820"/>
      <c r="L48" s="820"/>
      <c r="M48" s="820"/>
      <c r="N48" s="820"/>
      <c r="O48" s="820"/>
      <c r="P48" s="821"/>
      <c r="Q48" s="202"/>
      <c r="R48" s="202"/>
      <c r="S48" s="824"/>
      <c r="T48" s="824"/>
      <c r="U48" s="824"/>
      <c r="V48" s="825"/>
      <c r="W48" s="202"/>
    </row>
    <row r="49" spans="1:23" ht="15.75" customHeight="1" x14ac:dyDescent="0.25">
      <c r="A49" s="201"/>
      <c r="B49" s="192">
        <v>10.999000000000001</v>
      </c>
      <c r="C49" s="20">
        <v>108.046875</v>
      </c>
      <c r="D49" s="207"/>
      <c r="E49" s="202"/>
      <c r="F49" s="652" t="s">
        <v>96</v>
      </c>
      <c r="G49" s="653"/>
      <c r="H49" s="21">
        <v>-0.375</v>
      </c>
      <c r="I49" s="21">
        <v>-0.5</v>
      </c>
      <c r="J49" s="21">
        <v>-0.5</v>
      </c>
      <c r="K49" s="21">
        <v>-0.75</v>
      </c>
      <c r="L49" s="21">
        <v>-0.75</v>
      </c>
      <c r="M49" s="21">
        <v>-0.75</v>
      </c>
      <c r="N49" s="21">
        <v>-0.75</v>
      </c>
      <c r="O49" s="21">
        <v>-1</v>
      </c>
      <c r="P49" s="22" t="s">
        <v>642</v>
      </c>
      <c r="Q49" s="202"/>
      <c r="R49" s="202"/>
      <c r="S49" s="824"/>
      <c r="T49" s="824"/>
      <c r="U49" s="824"/>
      <c r="V49" s="825"/>
      <c r="W49" s="202"/>
    </row>
    <row r="50" spans="1:23" x14ac:dyDescent="0.25">
      <c r="A50" s="201"/>
      <c r="B50" s="192">
        <v>11.125</v>
      </c>
      <c r="C50" s="20">
        <v>108.171875</v>
      </c>
      <c r="D50" s="207"/>
      <c r="E50" s="202"/>
      <c r="F50" s="652" t="s">
        <v>97</v>
      </c>
      <c r="G50" s="653"/>
      <c r="H50" s="21">
        <v>-0.25</v>
      </c>
      <c r="I50" s="21">
        <v>-0.25</v>
      </c>
      <c r="J50" s="21">
        <v>-0.25</v>
      </c>
      <c r="K50" s="21">
        <v>-0.5</v>
      </c>
      <c r="L50" s="21">
        <v>-0.5</v>
      </c>
      <c r="M50" s="21">
        <v>-0.5</v>
      </c>
      <c r="N50" s="21">
        <v>-0.5</v>
      </c>
      <c r="O50" s="21">
        <v>-0.5</v>
      </c>
      <c r="P50" s="22" t="s">
        <v>642</v>
      </c>
      <c r="Q50" s="202"/>
      <c r="R50" s="202"/>
      <c r="S50" s="824"/>
      <c r="T50" s="824"/>
      <c r="U50" s="824"/>
      <c r="V50" s="825"/>
      <c r="W50" s="229"/>
    </row>
    <row r="51" spans="1:23" ht="13.5" customHeight="1" x14ac:dyDescent="0.25">
      <c r="A51" s="202"/>
      <c r="B51" s="245"/>
      <c r="C51" s="246"/>
      <c r="D51" s="202"/>
      <c r="E51" s="208"/>
      <c r="F51" s="652" t="s">
        <v>98</v>
      </c>
      <c r="G51" s="653"/>
      <c r="H51" s="21">
        <v>-1</v>
      </c>
      <c r="I51" s="21">
        <v>-1</v>
      </c>
      <c r="J51" s="21">
        <v>-1</v>
      </c>
      <c r="K51" s="21">
        <v>-1</v>
      </c>
      <c r="L51" s="21">
        <v>-1.25</v>
      </c>
      <c r="M51" s="21">
        <v>-1.5</v>
      </c>
      <c r="N51" s="21" t="s">
        <v>642</v>
      </c>
      <c r="O51" s="21" t="s">
        <v>642</v>
      </c>
      <c r="P51" s="22" t="s">
        <v>642</v>
      </c>
      <c r="Q51" s="202"/>
      <c r="R51" s="208"/>
      <c r="S51" s="826"/>
      <c r="T51" s="827"/>
      <c r="U51" s="827"/>
      <c r="V51" s="828"/>
      <c r="W51" s="230"/>
    </row>
    <row r="52" spans="1:23" x14ac:dyDescent="0.25">
      <c r="A52" s="202"/>
      <c r="B52" s="247"/>
      <c r="C52" s="248"/>
      <c r="D52" s="202"/>
      <c r="E52" s="202"/>
      <c r="F52" s="652" t="s">
        <v>99</v>
      </c>
      <c r="G52" s="653"/>
      <c r="H52" s="21">
        <v>0</v>
      </c>
      <c r="I52" s="21">
        <v>0</v>
      </c>
      <c r="J52" s="21">
        <v>0</v>
      </c>
      <c r="K52" s="21">
        <v>0</v>
      </c>
      <c r="L52" s="21">
        <v>0</v>
      </c>
      <c r="M52" s="21">
        <v>0</v>
      </c>
      <c r="N52" s="21">
        <v>0</v>
      </c>
      <c r="O52" s="21">
        <v>0</v>
      </c>
      <c r="P52" s="22" t="s">
        <v>642</v>
      </c>
      <c r="Q52" s="202"/>
      <c r="R52" s="202"/>
      <c r="S52" s="835"/>
      <c r="T52" s="836"/>
      <c r="U52" s="836"/>
      <c r="V52" s="837"/>
      <c r="W52" s="230"/>
    </row>
    <row r="53" spans="1:23" x14ac:dyDescent="0.25">
      <c r="A53" s="202"/>
      <c r="B53" s="249"/>
      <c r="C53" s="250"/>
      <c r="D53" s="209"/>
      <c r="E53" s="202"/>
      <c r="F53" s="652" t="s">
        <v>100</v>
      </c>
      <c r="G53" s="653"/>
      <c r="H53" s="21">
        <v>-0.125</v>
      </c>
      <c r="I53" s="21">
        <v>-0.125</v>
      </c>
      <c r="J53" s="21">
        <v>-0.125</v>
      </c>
      <c r="K53" s="21">
        <v>-0.25</v>
      </c>
      <c r="L53" s="21">
        <v>-0.25</v>
      </c>
      <c r="M53" s="21">
        <v>-0.25</v>
      </c>
      <c r="N53" s="21">
        <v>-0.25</v>
      </c>
      <c r="O53" s="21" t="s">
        <v>642</v>
      </c>
      <c r="P53" s="22" t="s">
        <v>642</v>
      </c>
      <c r="Q53" s="202"/>
      <c r="R53" s="202"/>
      <c r="S53" s="838"/>
      <c r="T53" s="839"/>
      <c r="U53" s="839"/>
      <c r="V53" s="840"/>
      <c r="W53" s="230"/>
    </row>
    <row r="54" spans="1:23" ht="15.75" thickBot="1" x14ac:dyDescent="0.3">
      <c r="A54" s="202"/>
      <c r="B54" s="249"/>
      <c r="C54" s="250"/>
      <c r="D54" s="210"/>
      <c r="E54" s="211"/>
      <c r="F54" s="841" t="s">
        <v>58</v>
      </c>
      <c r="G54" s="842"/>
      <c r="H54" s="842"/>
      <c r="I54" s="842"/>
      <c r="J54" s="842"/>
      <c r="K54" s="842"/>
      <c r="L54" s="842"/>
      <c r="M54" s="842"/>
      <c r="N54" s="842"/>
      <c r="O54" s="842"/>
      <c r="P54" s="842"/>
      <c r="Q54" s="202"/>
      <c r="R54" s="202"/>
      <c r="S54" s="838"/>
      <c r="T54" s="839"/>
      <c r="U54" s="839"/>
      <c r="V54" s="840"/>
      <c r="W54" s="230"/>
    </row>
    <row r="55" spans="1:23" x14ac:dyDescent="0.25">
      <c r="A55" s="202"/>
      <c r="B55" s="242" t="s">
        <v>64</v>
      </c>
      <c r="C55" s="244" t="s">
        <v>101</v>
      </c>
      <c r="D55" s="210"/>
      <c r="E55" s="202"/>
      <c r="F55" s="831" t="s">
        <v>102</v>
      </c>
      <c r="G55" s="832"/>
      <c r="H55" s="186">
        <v>-1</v>
      </c>
      <c r="I55" s="186">
        <v>-1</v>
      </c>
      <c r="J55" s="186">
        <v>-1</v>
      </c>
      <c r="K55" s="186">
        <v>-1</v>
      </c>
      <c r="L55" s="186">
        <v>-1</v>
      </c>
      <c r="M55" s="186">
        <v>-1</v>
      </c>
      <c r="N55" s="186">
        <v>-1</v>
      </c>
      <c r="O55" s="186">
        <v>-1</v>
      </c>
      <c r="P55" s="187" t="s">
        <v>642</v>
      </c>
      <c r="Q55" s="202"/>
      <c r="R55" s="202"/>
      <c r="S55" s="819" t="s">
        <v>103</v>
      </c>
      <c r="T55" s="821"/>
      <c r="U55" s="242" t="s">
        <v>104</v>
      </c>
      <c r="V55" s="244" t="s">
        <v>105</v>
      </c>
      <c r="W55" s="230"/>
    </row>
    <row r="56" spans="1:23" x14ac:dyDescent="0.25">
      <c r="A56" s="202"/>
      <c r="B56" s="27" t="s">
        <v>106</v>
      </c>
      <c r="C56" s="28">
        <v>-0.25</v>
      </c>
      <c r="D56" s="212"/>
      <c r="E56" s="213"/>
      <c r="F56" s="782" t="s">
        <v>107</v>
      </c>
      <c r="G56" s="783"/>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82" t="s">
        <v>112</v>
      </c>
      <c r="G57" s="783"/>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33" t="s">
        <v>115</v>
      </c>
      <c r="C58" s="834"/>
      <c r="D58" s="215"/>
      <c r="E58" s="202"/>
      <c r="F58" s="782" t="s">
        <v>116</v>
      </c>
      <c r="G58" s="783"/>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49" t="s">
        <v>120</v>
      </c>
      <c r="C59" s="850"/>
      <c r="D59" s="213"/>
      <c r="E59" s="202"/>
      <c r="F59" s="782" t="s">
        <v>121</v>
      </c>
      <c r="G59" s="783"/>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18"/>
      <c r="C60" s="851"/>
      <c r="D60" s="213"/>
      <c r="E60" s="202"/>
      <c r="F60" s="782" t="s">
        <v>125</v>
      </c>
      <c r="G60" s="783"/>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18"/>
      <c r="C61" s="851"/>
      <c r="D61" s="216"/>
      <c r="E61" s="202"/>
      <c r="F61" s="782" t="s">
        <v>129</v>
      </c>
      <c r="G61" s="783"/>
      <c r="H61" s="67">
        <v>0.625</v>
      </c>
      <c r="I61" s="67">
        <v>0.625</v>
      </c>
      <c r="J61" s="67">
        <v>0.625</v>
      </c>
      <c r="K61" s="67">
        <v>0.625</v>
      </c>
      <c r="L61" s="67">
        <v>0.625</v>
      </c>
      <c r="M61" s="67">
        <v>0.625</v>
      </c>
      <c r="N61" s="67">
        <v>0.625</v>
      </c>
      <c r="O61" s="67">
        <v>0.625</v>
      </c>
      <c r="P61" s="22" t="s">
        <v>642</v>
      </c>
      <c r="Q61" s="202"/>
      <c r="R61" s="202"/>
      <c r="S61" s="833" t="s">
        <v>134</v>
      </c>
      <c r="T61" s="845"/>
      <c r="U61" s="31" t="s">
        <v>119</v>
      </c>
      <c r="V61" s="35">
        <v>4</v>
      </c>
      <c r="W61" s="230"/>
    </row>
    <row r="62" spans="1:23" x14ac:dyDescent="0.25">
      <c r="A62" s="202"/>
      <c r="B62" s="618"/>
      <c r="C62" s="851"/>
      <c r="D62" s="217"/>
      <c r="E62" s="202"/>
      <c r="F62" s="782" t="s">
        <v>131</v>
      </c>
      <c r="G62" s="783"/>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18"/>
      <c r="C63" s="851"/>
      <c r="D63" s="217"/>
      <c r="E63" s="202"/>
      <c r="F63" s="782" t="s">
        <v>133</v>
      </c>
      <c r="G63" s="783"/>
      <c r="H63" s="67">
        <v>-0.5</v>
      </c>
      <c r="I63" s="67">
        <v>-0.5</v>
      </c>
      <c r="J63" s="67">
        <v>-0.5</v>
      </c>
      <c r="K63" s="67">
        <v>-0.5</v>
      </c>
      <c r="L63" s="67">
        <v>-0.5</v>
      </c>
      <c r="M63" s="67">
        <v>-0.5</v>
      </c>
      <c r="N63" s="67">
        <v>-0.5</v>
      </c>
      <c r="O63" s="67">
        <v>-0.5</v>
      </c>
      <c r="P63" s="22" t="s">
        <v>642</v>
      </c>
      <c r="Q63" s="227"/>
      <c r="R63" s="208"/>
      <c r="S63" s="833" t="s">
        <v>139</v>
      </c>
      <c r="T63" s="845"/>
      <c r="U63" s="37" t="s">
        <v>135</v>
      </c>
      <c r="V63" s="38">
        <v>0.25</v>
      </c>
      <c r="W63" s="230"/>
    </row>
    <row r="64" spans="1:23" x14ac:dyDescent="0.25">
      <c r="A64" s="202"/>
      <c r="B64" s="618"/>
      <c r="C64" s="851"/>
      <c r="D64" s="213"/>
      <c r="E64" s="202"/>
      <c r="F64" s="782" t="s">
        <v>136</v>
      </c>
      <c r="G64" s="783"/>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18"/>
      <c r="C65" s="851"/>
      <c r="D65" s="213"/>
      <c r="E65" s="202"/>
      <c r="F65" s="782" t="s">
        <v>138</v>
      </c>
      <c r="G65" s="783"/>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18"/>
      <c r="C66" s="851"/>
      <c r="D66" s="218"/>
      <c r="E66" s="202"/>
      <c r="F66" s="843" t="s">
        <v>141</v>
      </c>
      <c r="G66" s="844"/>
      <c r="H66" s="83">
        <v>0.875</v>
      </c>
      <c r="I66" s="83">
        <v>0.875</v>
      </c>
      <c r="J66" s="83">
        <v>0.875</v>
      </c>
      <c r="K66" s="83">
        <v>0.875</v>
      </c>
      <c r="L66" s="83">
        <v>0.875</v>
      </c>
      <c r="M66" s="83">
        <v>0.875</v>
      </c>
      <c r="N66" s="83">
        <v>0.875</v>
      </c>
      <c r="O66" s="83">
        <v>0.875</v>
      </c>
      <c r="P66" s="188" t="s">
        <v>642</v>
      </c>
      <c r="Q66" s="226"/>
      <c r="R66" s="202"/>
      <c r="S66" s="833" t="s">
        <v>146</v>
      </c>
      <c r="T66" s="845"/>
      <c r="U66" s="41" t="s">
        <v>142</v>
      </c>
      <c r="V66" s="38">
        <v>0</v>
      </c>
      <c r="W66" s="202"/>
    </row>
    <row r="67" spans="1:34" ht="15.75" customHeight="1" x14ac:dyDescent="0.25">
      <c r="A67" s="202"/>
      <c r="B67" s="618"/>
      <c r="C67" s="851"/>
      <c r="D67" s="219"/>
      <c r="E67" s="202"/>
      <c r="F67" s="846" t="s">
        <v>143</v>
      </c>
      <c r="G67" s="847"/>
      <c r="H67" s="847"/>
      <c r="I67" s="847"/>
      <c r="J67" s="847"/>
      <c r="K67" s="847"/>
      <c r="L67" s="847"/>
      <c r="M67" s="847"/>
      <c r="N67" s="847"/>
      <c r="O67" s="847"/>
      <c r="P67" s="848"/>
      <c r="Q67" s="226"/>
      <c r="R67" s="202"/>
      <c r="S67" s="639" t="s">
        <v>149</v>
      </c>
      <c r="T67" s="642"/>
      <c r="U67" s="37" t="s">
        <v>144</v>
      </c>
      <c r="V67" s="38">
        <v>-0.5</v>
      </c>
      <c r="W67" s="202"/>
      <c r="Y67" s="3"/>
    </row>
    <row r="68" spans="1:34" x14ac:dyDescent="0.25">
      <c r="A68" s="202"/>
      <c r="B68" s="618"/>
      <c r="C68" s="851"/>
      <c r="D68" s="213"/>
      <c r="E68" s="202"/>
      <c r="F68" s="782" t="s">
        <v>145</v>
      </c>
      <c r="G68" s="783"/>
      <c r="H68" s="21">
        <v>-0.25</v>
      </c>
      <c r="I68" s="21">
        <v>-0.25</v>
      </c>
      <c r="J68" s="21">
        <v>-0.25</v>
      </c>
      <c r="K68" s="21">
        <v>-0.375</v>
      </c>
      <c r="L68" s="21">
        <v>-0.5</v>
      </c>
      <c r="M68" s="21">
        <v>-0.5</v>
      </c>
      <c r="N68" s="21">
        <v>-0.5</v>
      </c>
      <c r="O68" s="21" t="s">
        <v>642</v>
      </c>
      <c r="P68" s="22" t="s">
        <v>642</v>
      </c>
      <c r="Q68" s="202"/>
      <c r="R68" s="202"/>
      <c r="S68" s="639" t="s">
        <v>152</v>
      </c>
      <c r="T68" s="642"/>
      <c r="U68" s="37" t="s">
        <v>147</v>
      </c>
      <c r="V68" s="38">
        <v>0</v>
      </c>
      <c r="W68" s="202"/>
      <c r="Y68" s="3"/>
      <c r="AD68" s="3"/>
      <c r="AE68" s="3"/>
      <c r="AF68" s="3"/>
      <c r="AG68" s="3"/>
      <c r="AH68" s="3"/>
    </row>
    <row r="69" spans="1:34" x14ac:dyDescent="0.25">
      <c r="A69" s="202"/>
      <c r="B69" s="618"/>
      <c r="C69" s="851"/>
      <c r="D69" s="218"/>
      <c r="E69" s="202"/>
      <c r="F69" s="782" t="s">
        <v>148</v>
      </c>
      <c r="G69" s="783"/>
      <c r="H69" s="21">
        <v>-0.25</v>
      </c>
      <c r="I69" s="21">
        <v>-0.25</v>
      </c>
      <c r="J69" s="21">
        <v>-0.5</v>
      </c>
      <c r="K69" s="21">
        <v>-0.5</v>
      </c>
      <c r="L69" s="21">
        <v>-0.75</v>
      </c>
      <c r="M69" s="21">
        <v>-0.75</v>
      </c>
      <c r="N69" s="21">
        <v>-0.75</v>
      </c>
      <c r="O69" s="21">
        <v>-1.25</v>
      </c>
      <c r="P69" s="22" t="s">
        <v>642</v>
      </c>
      <c r="Q69" s="202"/>
      <c r="R69" s="202"/>
      <c r="S69" s="639" t="s">
        <v>155</v>
      </c>
      <c r="T69" s="642"/>
      <c r="U69" s="37" t="s">
        <v>150</v>
      </c>
      <c r="V69" s="38">
        <v>-0.5</v>
      </c>
      <c r="W69" s="202"/>
      <c r="X69" s="3"/>
      <c r="Y69" s="3"/>
      <c r="AD69" s="3"/>
      <c r="AE69" s="3"/>
      <c r="AF69" s="3"/>
      <c r="AG69" s="3"/>
      <c r="AH69" s="3"/>
    </row>
    <row r="70" spans="1:34" ht="15.75" customHeight="1" x14ac:dyDescent="0.25">
      <c r="A70" s="202"/>
      <c r="B70" s="618"/>
      <c r="C70" s="851"/>
      <c r="D70" s="220"/>
      <c r="E70" s="202"/>
      <c r="F70" s="782" t="s">
        <v>151</v>
      </c>
      <c r="G70" s="783"/>
      <c r="H70" s="21">
        <v>-0.25</v>
      </c>
      <c r="I70" s="21">
        <v>-0.25</v>
      </c>
      <c r="J70" s="21">
        <v>-0.25</v>
      </c>
      <c r="K70" s="21">
        <v>-0.25</v>
      </c>
      <c r="L70" s="21">
        <v>-0.25</v>
      </c>
      <c r="M70" s="21">
        <v>-0.25</v>
      </c>
      <c r="N70" s="21">
        <v>-0.5</v>
      </c>
      <c r="O70" s="21">
        <v>-0.5</v>
      </c>
      <c r="P70" s="22">
        <v>-0.5</v>
      </c>
      <c r="Q70" s="202"/>
      <c r="R70" s="202"/>
      <c r="S70" s="639" t="s">
        <v>158</v>
      </c>
      <c r="T70" s="642"/>
      <c r="U70" s="253"/>
      <c r="V70" s="254"/>
      <c r="W70" s="202"/>
      <c r="X70" s="3"/>
      <c r="Y70" s="3"/>
      <c r="AD70" s="3"/>
      <c r="AE70" s="3"/>
      <c r="AF70" s="3"/>
      <c r="AG70" s="3"/>
      <c r="AH70" s="3"/>
    </row>
    <row r="71" spans="1:34" ht="15" customHeight="1" x14ac:dyDescent="0.25">
      <c r="A71" s="202"/>
      <c r="B71" s="819" t="s">
        <v>153</v>
      </c>
      <c r="C71" s="821"/>
      <c r="D71" s="221"/>
      <c r="E71" s="202"/>
      <c r="F71" s="782" t="s">
        <v>154</v>
      </c>
      <c r="G71" s="783"/>
      <c r="H71" s="21">
        <v>0</v>
      </c>
      <c r="I71" s="21">
        <v>0</v>
      </c>
      <c r="J71" s="21">
        <v>-0.25</v>
      </c>
      <c r="K71" s="21">
        <v>-0.25</v>
      </c>
      <c r="L71" s="21">
        <v>-0.25</v>
      </c>
      <c r="M71" s="21">
        <v>-0.25</v>
      </c>
      <c r="N71" s="21">
        <v>-0.25</v>
      </c>
      <c r="O71" s="21">
        <v>-0.5</v>
      </c>
      <c r="P71" s="22" t="s">
        <v>642</v>
      </c>
      <c r="Q71" s="202"/>
      <c r="R71" s="202"/>
      <c r="S71" s="639" t="s">
        <v>161</v>
      </c>
      <c r="T71" s="642"/>
      <c r="U71" s="253"/>
      <c r="V71" s="254"/>
      <c r="W71" s="202"/>
      <c r="X71" s="3"/>
      <c r="Y71" s="3"/>
      <c r="AD71" s="3"/>
      <c r="AE71" s="3"/>
      <c r="AF71" s="3"/>
      <c r="AG71" s="3"/>
      <c r="AH71" s="3"/>
    </row>
    <row r="72" spans="1:34" ht="17.25" customHeight="1" x14ac:dyDescent="0.25">
      <c r="A72" s="202"/>
      <c r="B72" s="852" t="s">
        <v>156</v>
      </c>
      <c r="C72" s="853"/>
      <c r="D72" s="221"/>
      <c r="E72" s="202"/>
      <c r="F72" s="782" t="s">
        <v>157</v>
      </c>
      <c r="G72" s="783"/>
      <c r="H72" s="21">
        <v>-1.5</v>
      </c>
      <c r="I72" s="21">
        <v>-1.5</v>
      </c>
      <c r="J72" s="21">
        <v>-1.5</v>
      </c>
      <c r="K72" s="21">
        <v>-1.5</v>
      </c>
      <c r="L72" s="21">
        <v>-1.5</v>
      </c>
      <c r="M72" s="21">
        <v>-2</v>
      </c>
      <c r="N72" s="21">
        <v>-2.25</v>
      </c>
      <c r="O72" s="21">
        <v>-2.25</v>
      </c>
      <c r="P72" s="22" t="s">
        <v>642</v>
      </c>
      <c r="Q72" s="202"/>
      <c r="R72" s="202"/>
      <c r="S72" s="833" t="s">
        <v>163</v>
      </c>
      <c r="T72" s="854"/>
      <c r="U72" s="253"/>
      <c r="V72" s="254"/>
      <c r="W72" s="202"/>
      <c r="X72" s="3"/>
      <c r="Y72" s="3"/>
      <c r="AD72" s="3"/>
      <c r="AE72" s="3"/>
      <c r="AF72" s="3"/>
      <c r="AG72" s="3"/>
      <c r="AH72" s="3"/>
    </row>
    <row r="73" spans="1:34" ht="15" customHeight="1" x14ac:dyDescent="0.25">
      <c r="A73" s="202"/>
      <c r="B73" s="841" t="s">
        <v>159</v>
      </c>
      <c r="C73" s="842"/>
      <c r="D73" s="221"/>
      <c r="E73" s="208"/>
      <c r="F73" s="782" t="s">
        <v>160</v>
      </c>
      <c r="G73" s="783"/>
      <c r="H73" s="21">
        <v>-1.5</v>
      </c>
      <c r="I73" s="21">
        <v>-1.5</v>
      </c>
      <c r="J73" s="21">
        <v>-1.5</v>
      </c>
      <c r="K73" s="21">
        <v>-1.5</v>
      </c>
      <c r="L73" s="21">
        <v>-1.5</v>
      </c>
      <c r="M73" s="21">
        <v>-1.75</v>
      </c>
      <c r="N73" s="21" t="s">
        <v>642</v>
      </c>
      <c r="O73" s="21" t="s">
        <v>642</v>
      </c>
      <c r="P73" s="22" t="s">
        <v>642</v>
      </c>
      <c r="Q73" s="202"/>
      <c r="R73" s="202"/>
      <c r="S73" s="639" t="s">
        <v>164</v>
      </c>
      <c r="T73" s="642"/>
      <c r="U73" s="255"/>
      <c r="V73" s="256"/>
      <c r="W73" s="202"/>
      <c r="X73" s="3"/>
      <c r="Y73" s="3"/>
      <c r="AD73" s="3"/>
      <c r="AE73" s="3"/>
      <c r="AF73" s="3"/>
      <c r="AG73" s="3"/>
      <c r="AH73" s="3"/>
    </row>
    <row r="74" spans="1:34" ht="15" customHeight="1" x14ac:dyDescent="0.25">
      <c r="A74" s="202"/>
      <c r="B74" s="626" t="s">
        <v>162</v>
      </c>
      <c r="C74" s="626"/>
      <c r="D74" s="221"/>
      <c r="E74" s="208"/>
      <c r="F74" s="782" t="s">
        <v>69</v>
      </c>
      <c r="G74" s="783"/>
      <c r="H74" s="21">
        <v>-0.5</v>
      </c>
      <c r="I74" s="21">
        <v>-0.5</v>
      </c>
      <c r="J74" s="21">
        <v>-0.5</v>
      </c>
      <c r="K74" s="21">
        <v>-0.5</v>
      </c>
      <c r="L74" s="21">
        <v>-0.5</v>
      </c>
      <c r="M74" s="21">
        <v>-0.5</v>
      </c>
      <c r="N74" s="21">
        <v>-0.5</v>
      </c>
      <c r="O74" s="21">
        <v>-0.5</v>
      </c>
      <c r="P74" s="22">
        <v>-0.5</v>
      </c>
      <c r="Q74" s="202"/>
      <c r="R74" s="202"/>
      <c r="S74" s="639" t="s">
        <v>165</v>
      </c>
      <c r="T74" s="642"/>
      <c r="U74" s="255"/>
      <c r="V74" s="256"/>
      <c r="W74" s="202"/>
      <c r="X74" s="3"/>
      <c r="Y74" s="3"/>
      <c r="AD74" s="3"/>
      <c r="AE74" s="3"/>
      <c r="AF74" s="3"/>
      <c r="AG74" s="3"/>
      <c r="AH74" s="3"/>
    </row>
    <row r="75" spans="1:34" ht="15" customHeight="1" x14ac:dyDescent="0.25">
      <c r="A75" s="202"/>
      <c r="B75" s="626"/>
      <c r="C75" s="626"/>
      <c r="D75" s="221"/>
      <c r="E75" s="208"/>
      <c r="F75" s="833" t="s">
        <v>33</v>
      </c>
      <c r="G75" s="854"/>
      <c r="H75" s="854"/>
      <c r="I75" s="854"/>
      <c r="J75" s="854"/>
      <c r="K75" s="854"/>
      <c r="L75" s="854"/>
      <c r="M75" s="854"/>
      <c r="N75" s="854"/>
      <c r="O75" s="854"/>
      <c r="P75" s="834"/>
      <c r="Q75" s="202"/>
      <c r="R75" s="202"/>
      <c r="S75" s="640" t="s">
        <v>167</v>
      </c>
      <c r="T75" s="641"/>
      <c r="U75" s="255"/>
      <c r="V75" s="256"/>
      <c r="W75" s="202"/>
      <c r="X75" s="3"/>
      <c r="Y75" s="3"/>
      <c r="AD75" s="3"/>
      <c r="AE75" s="3"/>
      <c r="AF75" s="3"/>
      <c r="AG75" s="3"/>
      <c r="AH75" s="3"/>
    </row>
    <row r="76" spans="1:34" ht="15" customHeight="1" x14ac:dyDescent="0.25">
      <c r="A76" s="202"/>
      <c r="B76" s="626"/>
      <c r="C76" s="626"/>
      <c r="D76" s="221"/>
      <c r="E76" s="208"/>
      <c r="F76" s="782" t="s">
        <v>34</v>
      </c>
      <c r="G76" s="783"/>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26"/>
      <c r="C77" s="626"/>
      <c r="D77" s="221"/>
      <c r="E77" s="208"/>
      <c r="F77" s="782" t="s">
        <v>166</v>
      </c>
      <c r="G77" s="783"/>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26"/>
      <c r="C78" s="626"/>
      <c r="D78" s="221"/>
      <c r="E78" s="208"/>
      <c r="F78" s="782" t="s">
        <v>168</v>
      </c>
      <c r="G78" s="783"/>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26"/>
      <c r="C79" s="626"/>
      <c r="D79" s="221"/>
      <c r="E79" s="208"/>
      <c r="F79" s="782" t="s">
        <v>169</v>
      </c>
      <c r="G79" s="783"/>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82" t="s">
        <v>170</v>
      </c>
      <c r="G80" s="783"/>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41" t="s">
        <v>36</v>
      </c>
      <c r="G81" s="842"/>
      <c r="H81" s="842"/>
      <c r="I81" s="842"/>
      <c r="J81" s="842"/>
      <c r="K81" s="842"/>
      <c r="L81" s="842"/>
      <c r="M81" s="842"/>
      <c r="N81" s="842"/>
      <c r="O81" s="842"/>
      <c r="P81" s="855"/>
      <c r="Q81" s="202"/>
      <c r="R81" s="202"/>
      <c r="S81" s="260"/>
      <c r="T81" s="255"/>
      <c r="U81" s="255"/>
      <c r="V81" s="256"/>
      <c r="W81" s="202"/>
    </row>
    <row r="82" spans="1:23" ht="15" customHeight="1" x14ac:dyDescent="0.25">
      <c r="A82" s="202"/>
      <c r="B82" s="265"/>
      <c r="C82" s="254"/>
      <c r="D82" s="221"/>
      <c r="E82" s="208"/>
      <c r="F82" s="856" t="s">
        <v>171</v>
      </c>
      <c r="G82" s="857"/>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58" t="s">
        <v>172</v>
      </c>
      <c r="G83" s="859"/>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58" t="s">
        <v>173</v>
      </c>
      <c r="G84" s="859"/>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60" t="s">
        <v>174</v>
      </c>
      <c r="G85" s="861"/>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59" priority="32" operator="containsText" text="n/a">
      <formula>NOT(ISERROR(SEARCH("n/a",A6)))</formula>
    </cfRule>
  </conditionalFormatting>
  <conditionalFormatting sqref="B58:B59">
    <cfRule type="containsText" dxfId="258" priority="8" operator="containsText" text="n/a">
      <formula>NOT(ISERROR(SEARCH("n/a",B58)))</formula>
    </cfRule>
  </conditionalFormatting>
  <conditionalFormatting sqref="B71">
    <cfRule type="containsText" dxfId="257" priority="17" operator="containsText" text="n/a">
      <formula>NOT(ISERROR(SEARCH("n/a",B71)))</formula>
    </cfRule>
  </conditionalFormatting>
  <conditionalFormatting sqref="B73">
    <cfRule type="containsText" dxfId="256" priority="4" operator="containsText" text="n/a">
      <formula>NOT(ISERROR(SEARCH("n/a",B73)))</formula>
    </cfRule>
  </conditionalFormatting>
  <conditionalFormatting sqref="B8:C8">
    <cfRule type="containsText" dxfId="255" priority="41" operator="containsText" text="n/a">
      <formula>NOT(ISERROR(SEARCH("n/a",B8)))</formula>
    </cfRule>
  </conditionalFormatting>
  <conditionalFormatting sqref="B51:C52">
    <cfRule type="containsText" dxfId="254" priority="6" operator="containsText" text="n/a">
      <formula>NOT(ISERROR(SEARCH("n/a",B51)))</formula>
    </cfRule>
  </conditionalFormatting>
  <conditionalFormatting sqref="B55:C55">
    <cfRule type="containsText" dxfId="253" priority="18" operator="containsText" text="n/a">
      <formula>NOT(ISERROR(SEARCH("n/a",B55)))</formula>
    </cfRule>
  </conditionalFormatting>
  <conditionalFormatting sqref="B10:D10">
    <cfRule type="containsText" dxfId="252" priority="40" operator="containsText" text="n/a">
      <formula>NOT(ISERROR(SEARCH("n/a",B10)))</formula>
    </cfRule>
  </conditionalFormatting>
  <conditionalFormatting sqref="C13:D50">
    <cfRule type="containsErrors" dxfId="251" priority="43">
      <formula>ISERROR(C13)</formula>
    </cfRule>
  </conditionalFormatting>
  <conditionalFormatting sqref="F9:F10">
    <cfRule type="containsText" dxfId="250" priority="34" operator="containsText" text="n/a">
      <formula>NOT(ISERROR(SEARCH("n/a",F9)))</formula>
    </cfRule>
  </conditionalFormatting>
  <conditionalFormatting sqref="F21:F22">
    <cfRule type="containsText" dxfId="249" priority="11" operator="containsText" text="n/a">
      <formula>NOT(ISERROR(SEARCH("n/a",F21)))</formula>
    </cfRule>
  </conditionalFormatting>
  <conditionalFormatting sqref="F25">
    <cfRule type="containsText" dxfId="248" priority="25" operator="containsText" text="n/a">
      <formula>NOT(ISERROR(SEARCH("n/a",F25)))</formula>
    </cfRule>
  </conditionalFormatting>
  <conditionalFormatting sqref="F31">
    <cfRule type="containsText" dxfId="247" priority="24" operator="containsText" text="n/a">
      <formula>NOT(ISERROR(SEARCH("n/a",F31)))</formula>
    </cfRule>
  </conditionalFormatting>
  <conditionalFormatting sqref="F37">
    <cfRule type="containsText" dxfId="246" priority="23" operator="containsText" text="n/a">
      <formula>NOT(ISERROR(SEARCH("n/a",F37)))</formula>
    </cfRule>
  </conditionalFormatting>
  <conditionalFormatting sqref="F48">
    <cfRule type="containsText" dxfId="245" priority="22" operator="containsText" text="n/a">
      <formula>NOT(ISERROR(SEARCH("n/a",F48)))</formula>
    </cfRule>
  </conditionalFormatting>
  <conditionalFormatting sqref="F54">
    <cfRule type="containsText" dxfId="244" priority="5" operator="containsText" text="n/a">
      <formula>NOT(ISERROR(SEARCH("n/a",F54)))</formula>
    </cfRule>
  </conditionalFormatting>
  <conditionalFormatting sqref="F67">
    <cfRule type="containsText" dxfId="243" priority="21" operator="containsText" text="n/a">
      <formula>NOT(ISERROR(SEARCH("n/a",F67)))</formula>
    </cfRule>
  </conditionalFormatting>
  <conditionalFormatting sqref="F75">
    <cfRule type="containsText" dxfId="242" priority="20" operator="containsText" text="n/a">
      <formula>NOT(ISERROR(SEARCH("n/a",F75)))</formula>
    </cfRule>
  </conditionalFormatting>
  <conditionalFormatting sqref="F81">
    <cfRule type="containsText" dxfId="241" priority="19" operator="containsText" text="n/a">
      <formula>NOT(ISERROR(SEARCH("n/a",F81)))</formula>
    </cfRule>
  </conditionalFormatting>
  <conditionalFormatting sqref="F8:P8">
    <cfRule type="containsText" dxfId="240" priority="35" operator="containsText" text="n/a">
      <formula>NOT(ISERROR(SEARCH("n/a",F8)))</formula>
    </cfRule>
  </conditionalFormatting>
  <conditionalFormatting sqref="H10:P10">
    <cfRule type="containsText" dxfId="239" priority="33" operator="containsText" text="n/a">
      <formula>NOT(ISERROR(SEARCH("n/a",H10)))</formula>
    </cfRule>
  </conditionalFormatting>
  <conditionalFormatting sqref="K11:Q15 H11:J20 K16:O16 Q16:Q21 K17:N20">
    <cfRule type="containsErrors" dxfId="238" priority="44">
      <formula>ISERROR(H11)</formula>
    </cfRule>
  </conditionalFormatting>
  <conditionalFormatting sqref="Q9:Q10 K11:Q15 H11:J20 K16:O16 Q16:Q21 K17:N20">
    <cfRule type="containsText" dxfId="237" priority="42" operator="containsText" text="n/a">
      <formula>NOT(ISERROR(SEARCH("n/a",H9)))</formula>
    </cfRule>
  </conditionalFormatting>
  <conditionalFormatting sqref="S36:S39">
    <cfRule type="containsText" dxfId="236" priority="26" operator="containsText" text="Rate">
      <formula>NOT(ISERROR(SEARCH("Rate",S36)))</formula>
    </cfRule>
    <cfRule type="expression" dxfId="235" priority="27">
      <formula>Output_NetPrice_JM &lt; 99</formula>
    </cfRule>
    <cfRule type="expression" dxfId="234" priority="28">
      <formula>Output_NetPrice_ExpNR &lt; 99</formula>
    </cfRule>
  </conditionalFormatting>
  <conditionalFormatting sqref="S51:S52">
    <cfRule type="containsText" dxfId="233" priority="7" operator="containsText" text="n/a">
      <formula>NOT(ISERROR(SEARCH("n/a",S51)))</formula>
    </cfRule>
  </conditionalFormatting>
  <conditionalFormatting sqref="S55">
    <cfRule type="containsText" dxfId="232" priority="16" operator="containsText" text="n/a">
      <formula>NOT(ISERROR(SEARCH("n/a",S55)))</formula>
    </cfRule>
  </conditionalFormatting>
  <conditionalFormatting sqref="S61">
    <cfRule type="containsText" dxfId="231" priority="15" operator="containsText" text="n/a">
      <formula>NOT(ISERROR(SEARCH("n/a",S61)))</formula>
    </cfRule>
  </conditionalFormatting>
  <conditionalFormatting sqref="S63">
    <cfRule type="containsText" dxfId="230" priority="14" operator="containsText" text="n/a">
      <formula>NOT(ISERROR(SEARCH("n/a",S63)))</formula>
    </cfRule>
  </conditionalFormatting>
  <conditionalFormatting sqref="S66">
    <cfRule type="containsText" dxfId="229" priority="13" operator="containsText" text="n/a">
      <formula>NOT(ISERROR(SEARCH("n/a",S66)))</formula>
    </cfRule>
  </conditionalFormatting>
  <conditionalFormatting sqref="S72">
    <cfRule type="containsText" dxfId="228" priority="12" operator="containsText" text="n/a">
      <formula>NOT(ISERROR(SEARCH("n/a",S72)))</formula>
    </cfRule>
  </conditionalFormatting>
  <conditionalFormatting sqref="S8:W8">
    <cfRule type="containsText" dxfId="227" priority="36" operator="containsText" text="n/a">
      <formula>NOT(ISERROR(SEARCH("n/a",S8)))</formula>
    </cfRule>
  </conditionalFormatting>
  <conditionalFormatting sqref="U55:V55">
    <cfRule type="containsText" dxfId="226" priority="10" operator="containsText" text="n/a">
      <formula>NOT(ISERROR(SEARCH("n/a",U55)))</formula>
    </cfRule>
  </conditionalFormatting>
  <conditionalFormatting sqref="U62:V62">
    <cfRule type="containsText" dxfId="225" priority="9" operator="containsText" text="n/a">
      <formula>NOT(ISERROR(SEARCH("n/a",U62)))</formula>
    </cfRule>
  </conditionalFormatting>
  <conditionalFormatting sqref="V36:V39">
    <cfRule type="containsText" dxfId="224" priority="29" operator="containsText" text="Rate">
      <formula>NOT(ISERROR(SEARCH("Rate",V36)))</formula>
    </cfRule>
    <cfRule type="expression" dxfId="223" priority="30">
      <formula>Output_NetPrice_JM &lt; 99</formula>
    </cfRule>
    <cfRule type="expression" dxfId="222" priority="31">
      <formula>Output_NetPrice_ExpNR &lt; 99</formula>
    </cfRule>
  </conditionalFormatting>
  <conditionalFormatting sqref="U10">
    <cfRule type="containsText" dxfId="221" priority="1" operator="containsText" text="Rate">
      <formula>NOT(ISERROR(SEARCH("Rate",U10)))</formula>
    </cfRule>
    <cfRule type="expression" dxfId="220" priority="2">
      <formula>Output_NetPrice_JM &lt; 99</formula>
    </cfRule>
    <cfRule type="expression" dxfId="219"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63" t="s">
        <v>0</v>
      </c>
      <c r="M1" s="663"/>
      <c r="N1" s="663"/>
      <c r="O1" s="663"/>
      <c r="P1" s="59"/>
      <c r="Q1" s="59"/>
      <c r="R1" s="59"/>
      <c r="S1" s="3"/>
      <c r="T1" s="3"/>
      <c r="U1" s="3"/>
    </row>
    <row r="2" spans="1:22" ht="17.45" customHeight="1" x14ac:dyDescent="0.25">
      <c r="I2" s="60"/>
      <c r="J2" s="60"/>
      <c r="K2" s="60"/>
      <c r="L2" s="664" t="s">
        <v>1</v>
      </c>
      <c r="M2" s="664"/>
      <c r="N2" s="664"/>
      <c r="O2" s="664"/>
      <c r="P2" s="60"/>
      <c r="Q2" s="59"/>
      <c r="R2" s="59"/>
      <c r="S2" s="3"/>
      <c r="T2" s="3"/>
      <c r="U2" s="3"/>
      <c r="V2" s="61"/>
    </row>
    <row r="3" spans="1:22" ht="17.45" customHeight="1" x14ac:dyDescent="0.25">
      <c r="I3" s="60"/>
      <c r="J3" s="60"/>
      <c r="K3" s="60"/>
      <c r="L3" s="664" t="s">
        <v>2</v>
      </c>
      <c r="M3" s="664"/>
      <c r="N3" s="664"/>
      <c r="O3" s="664"/>
      <c r="P3" s="60"/>
      <c r="Q3" s="60"/>
      <c r="R3" s="60"/>
      <c r="V3" s="62"/>
    </row>
    <row r="4" spans="1:22" ht="17.45" customHeight="1" x14ac:dyDescent="0.25">
      <c r="H4" s="9"/>
      <c r="I4" s="9"/>
      <c r="J4" s="9"/>
      <c r="K4" s="63"/>
      <c r="L4" s="64"/>
      <c r="M4" s="64"/>
      <c r="N4" s="655"/>
      <c r="O4" s="655"/>
      <c r="R4" s="3"/>
      <c r="S4" s="3"/>
    </row>
    <row r="5" spans="1:22" ht="17.45" customHeight="1" thickBot="1" x14ac:dyDescent="0.3">
      <c r="H5" s="9"/>
      <c r="I5" s="9"/>
      <c r="J5" s="9"/>
      <c r="K5" s="10"/>
      <c r="L5" s="655" t="s">
        <v>3</v>
      </c>
      <c r="M5" s="655"/>
      <c r="N5" s="655">
        <v>45869</v>
      </c>
      <c r="O5" s="655"/>
      <c r="R5" s="3"/>
      <c r="S5" s="3"/>
    </row>
    <row r="6" spans="1:22" ht="17.45" customHeight="1" x14ac:dyDescent="0.25">
      <c r="A6" s="202"/>
      <c r="B6" s="801" t="s">
        <v>4</v>
      </c>
      <c r="C6" s="862"/>
      <c r="D6" s="802"/>
      <c r="E6" s="329"/>
      <c r="F6" s="801" t="s">
        <v>175</v>
      </c>
      <c r="G6" s="862"/>
      <c r="H6" s="862"/>
      <c r="I6" s="862"/>
      <c r="J6" s="862"/>
      <c r="K6" s="862"/>
      <c r="L6" s="862"/>
      <c r="M6" s="862"/>
      <c r="N6" s="862"/>
      <c r="O6" s="802"/>
      <c r="P6" s="202"/>
      <c r="Q6" s="805" t="s">
        <v>5</v>
      </c>
      <c r="R6" s="806"/>
      <c r="S6" s="806"/>
      <c r="T6" s="807"/>
      <c r="U6" s="202"/>
    </row>
    <row r="7" spans="1:22" ht="17.45" customHeight="1" thickBot="1" x14ac:dyDescent="0.3">
      <c r="A7" s="202"/>
      <c r="B7" s="803"/>
      <c r="C7" s="863"/>
      <c r="D7" s="804"/>
      <c r="E7" s="330"/>
      <c r="F7" s="803"/>
      <c r="G7" s="863"/>
      <c r="H7" s="863"/>
      <c r="I7" s="863"/>
      <c r="J7" s="863"/>
      <c r="K7" s="863"/>
      <c r="L7" s="863"/>
      <c r="M7" s="863"/>
      <c r="N7" s="863"/>
      <c r="O7" s="804"/>
      <c r="P7" s="202"/>
      <c r="Q7" s="811"/>
      <c r="R7" s="812"/>
      <c r="S7" s="812"/>
      <c r="T7" s="813"/>
      <c r="U7" s="202"/>
    </row>
    <row r="8" spans="1:22" ht="15.75" customHeight="1" x14ac:dyDescent="0.25">
      <c r="A8" s="202"/>
      <c r="B8" s="311"/>
      <c r="C8" s="312"/>
      <c r="D8" s="313"/>
      <c r="E8" s="201"/>
      <c r="F8" s="311"/>
      <c r="G8" s="312"/>
      <c r="H8" s="312"/>
      <c r="I8" s="312"/>
      <c r="J8" s="312"/>
      <c r="K8" s="312"/>
      <c r="L8" s="312"/>
      <c r="M8" s="312"/>
      <c r="N8" s="312"/>
      <c r="O8" s="313"/>
      <c r="P8" s="202"/>
      <c r="Q8" s="231"/>
      <c r="R8" s="233"/>
      <c r="S8" s="233"/>
      <c r="T8" s="232"/>
      <c r="U8" s="202"/>
      <c r="V8" s="23"/>
    </row>
    <row r="9" spans="1:22" ht="15.75" customHeight="1" thickBot="1" x14ac:dyDescent="0.3">
      <c r="A9" s="202"/>
      <c r="B9" s="814" t="s">
        <v>6</v>
      </c>
      <c r="C9" s="864"/>
      <c r="D9" s="815"/>
      <c r="E9" s="227"/>
      <c r="F9" s="816" t="s">
        <v>7</v>
      </c>
      <c r="G9" s="817"/>
      <c r="H9" s="817"/>
      <c r="I9" s="817"/>
      <c r="J9" s="817"/>
      <c r="K9" s="817"/>
      <c r="L9" s="817"/>
      <c r="M9" s="817"/>
      <c r="N9" s="817"/>
      <c r="O9" s="818"/>
      <c r="P9" s="202"/>
      <c r="Q9" s="234"/>
      <c r="R9" s="235"/>
      <c r="S9" s="236" t="s">
        <v>8</v>
      </c>
      <c r="T9" s="237"/>
      <c r="U9" s="202"/>
    </row>
    <row r="10" spans="1:22" ht="15" customHeight="1" x14ac:dyDescent="0.25">
      <c r="A10" s="202"/>
      <c r="B10" s="238" t="s">
        <v>9</v>
      </c>
      <c r="C10" s="239" t="s">
        <v>176</v>
      </c>
      <c r="D10" s="240" t="s">
        <v>177</v>
      </c>
      <c r="E10" s="223"/>
      <c r="F10" s="784" t="s">
        <v>11</v>
      </c>
      <c r="G10" s="785"/>
      <c r="H10" s="239" t="s">
        <v>12</v>
      </c>
      <c r="I10" s="239" t="s">
        <v>13</v>
      </c>
      <c r="J10" s="239" t="s">
        <v>14</v>
      </c>
      <c r="K10" s="239" t="s">
        <v>15</v>
      </c>
      <c r="L10" s="239" t="s">
        <v>16</v>
      </c>
      <c r="M10" s="239" t="s">
        <v>17</v>
      </c>
      <c r="N10" s="239" t="s">
        <v>18</v>
      </c>
      <c r="O10" s="240" t="s">
        <v>19</v>
      </c>
      <c r="P10" s="202"/>
      <c r="Q10" s="786" t="s">
        <v>21</v>
      </c>
      <c r="R10" s="787"/>
      <c r="S10" s="65">
        <v>6.25</v>
      </c>
      <c r="T10" s="309"/>
      <c r="U10" s="202"/>
    </row>
    <row r="11" spans="1:22" ht="14.25" customHeight="1" x14ac:dyDescent="0.25">
      <c r="A11" s="202"/>
      <c r="B11" s="193">
        <v>6.25</v>
      </c>
      <c r="C11" s="308"/>
      <c r="D11" s="194"/>
      <c r="E11" s="207"/>
      <c r="F11" s="758" t="s">
        <v>22</v>
      </c>
      <c r="G11" s="759">
        <v>0</v>
      </c>
      <c r="H11" s="14">
        <v>0.625</v>
      </c>
      <c r="I11" s="14">
        <v>0.5</v>
      </c>
      <c r="J11" s="14">
        <v>0.5</v>
      </c>
      <c r="K11" s="14">
        <v>0.5</v>
      </c>
      <c r="L11" s="14">
        <v>0.375</v>
      </c>
      <c r="M11" s="14">
        <v>0.125</v>
      </c>
      <c r="N11" s="14">
        <v>-0.125</v>
      </c>
      <c r="O11" s="15">
        <v>-1.75</v>
      </c>
      <c r="P11" s="202"/>
      <c r="Q11" s="760" t="s">
        <v>23</v>
      </c>
      <c r="R11" s="761"/>
      <c r="S11" s="16" t="s">
        <v>31</v>
      </c>
      <c r="T11" s="310"/>
      <c r="U11" s="202"/>
    </row>
    <row r="12" spans="1:22" ht="15" customHeight="1" x14ac:dyDescent="0.25">
      <c r="A12" s="202"/>
      <c r="B12" s="193">
        <v>6.375</v>
      </c>
      <c r="C12" s="195"/>
      <c r="D12" s="194"/>
      <c r="E12" s="207"/>
      <c r="F12" s="758" t="s">
        <v>24</v>
      </c>
      <c r="G12" s="759">
        <v>0</v>
      </c>
      <c r="H12" s="18">
        <v>0.5</v>
      </c>
      <c r="I12" s="18">
        <v>0.5</v>
      </c>
      <c r="J12" s="14">
        <v>0.5</v>
      </c>
      <c r="K12" s="18">
        <v>0.375</v>
      </c>
      <c r="L12" s="18">
        <v>0.25</v>
      </c>
      <c r="M12" s="14">
        <v>0</v>
      </c>
      <c r="N12" s="14">
        <v>-0.375</v>
      </c>
      <c r="O12" s="15">
        <v>-2</v>
      </c>
      <c r="P12" s="202"/>
      <c r="Q12" s="760" t="s">
        <v>25</v>
      </c>
      <c r="R12" s="761"/>
      <c r="S12" s="16" t="s">
        <v>35</v>
      </c>
      <c r="T12" s="310" t="b">
        <f>IF(ISNUMBER(MATCH($S$11,'Feed(WS)'!$B$3:$B$11,0)),
   INDEX($H$11:$O$19,MATCH($S$12,$F$11:$F$19,0),MATCH($S$11,$H$10:$O$10,0)))</f>
        <v>0</v>
      </c>
      <c r="U12" s="202"/>
    </row>
    <row r="13" spans="1:22" ht="15.75" customHeight="1" x14ac:dyDescent="0.25">
      <c r="A13" s="202"/>
      <c r="B13" s="193">
        <v>6.4989999999999997</v>
      </c>
      <c r="C13" s="417">
        <v>99.0625</v>
      </c>
      <c r="D13" s="194"/>
      <c r="E13" s="207"/>
      <c r="F13" s="758" t="s">
        <v>26</v>
      </c>
      <c r="G13" s="759">
        <v>0</v>
      </c>
      <c r="H13" s="18">
        <v>0.5</v>
      </c>
      <c r="I13" s="18">
        <v>0.375</v>
      </c>
      <c r="J13" s="14">
        <v>0.375</v>
      </c>
      <c r="K13" s="18">
        <v>0.25</v>
      </c>
      <c r="L13" s="18">
        <v>0</v>
      </c>
      <c r="M13" s="14">
        <v>-0.375</v>
      </c>
      <c r="N13" s="14">
        <v>-0.5</v>
      </c>
      <c r="O13" s="15">
        <v>-2.25</v>
      </c>
      <c r="P13" s="202"/>
      <c r="Q13" s="760" t="s">
        <v>27</v>
      </c>
      <c r="R13" s="761"/>
      <c r="S13" s="16" t="s">
        <v>181</v>
      </c>
      <c r="T13" s="310" t="e">
        <f>IF(OR($S$11="", $S$13=""), "",
   INDEX($H$23:$O$28,
         MATCH($S$13,$F$23:$F$28,0),
         MATCH($S$11,$H$10:$O$10,0)))</f>
        <v>#N/A</v>
      </c>
      <c r="U13" s="202"/>
    </row>
    <row r="14" spans="1:22" ht="15.75" customHeight="1" x14ac:dyDescent="0.25">
      <c r="A14" s="202"/>
      <c r="B14" s="193">
        <v>6.625</v>
      </c>
      <c r="C14" s="14">
        <v>99.53125</v>
      </c>
      <c r="D14" s="194"/>
      <c r="E14" s="207"/>
      <c r="F14" s="758" t="s">
        <v>29</v>
      </c>
      <c r="G14" s="759">
        <v>0</v>
      </c>
      <c r="H14" s="18">
        <v>0.375</v>
      </c>
      <c r="I14" s="18">
        <v>0.25</v>
      </c>
      <c r="J14" s="14">
        <v>0.25</v>
      </c>
      <c r="K14" s="18">
        <v>0</v>
      </c>
      <c r="L14" s="18">
        <v>-0.375</v>
      </c>
      <c r="M14" s="14">
        <v>-0.5</v>
      </c>
      <c r="N14" s="14">
        <v>-1</v>
      </c>
      <c r="O14" s="15">
        <v>-2.75</v>
      </c>
      <c r="P14" s="202"/>
      <c r="Q14" s="760" t="s">
        <v>30</v>
      </c>
      <c r="R14" s="761"/>
      <c r="S14" s="16" t="s">
        <v>31</v>
      </c>
      <c r="T14" s="310" t="e">
        <f>'Feed(WS)'!$O$180</f>
        <v>#REF!</v>
      </c>
      <c r="U14" s="202"/>
      <c r="V14" s="17"/>
    </row>
    <row r="15" spans="1:22" ht="15" customHeight="1" x14ac:dyDescent="0.25">
      <c r="A15" s="202"/>
      <c r="B15" s="193">
        <v>6.75</v>
      </c>
      <c r="C15" s="14">
        <v>99.96875</v>
      </c>
      <c r="D15" s="194"/>
      <c r="E15" s="207"/>
      <c r="F15" s="758" t="s">
        <v>32</v>
      </c>
      <c r="G15" s="759">
        <v>0</v>
      </c>
      <c r="H15" s="18">
        <v>0.25</v>
      </c>
      <c r="I15" s="18">
        <v>0</v>
      </c>
      <c r="J15" s="14">
        <v>0</v>
      </c>
      <c r="K15" s="18">
        <v>-0.375</v>
      </c>
      <c r="L15" s="18">
        <v>-0.5</v>
      </c>
      <c r="M15" s="14">
        <v>-1</v>
      </c>
      <c r="N15" s="14">
        <v>-1.5</v>
      </c>
      <c r="O15" s="194" t="s">
        <v>642</v>
      </c>
      <c r="P15" s="202"/>
      <c r="Q15" s="760" t="s">
        <v>33</v>
      </c>
      <c r="R15" s="761"/>
      <c r="S15" s="16" t="s">
        <v>34</v>
      </c>
      <c r="T15" s="310" t="e">
        <f>IF(OR($S$11="", $S$15=""), "",
   INDEX($H$71:$O$75,
         MATCH($S$15,$F$71:$F$75,0),
         MATCH($S$11,$H$10:$O$10,0)))</f>
        <v>#N/A</v>
      </c>
      <c r="U15" s="202"/>
      <c r="V15" s="17"/>
    </row>
    <row r="16" spans="1:22" ht="14.25" customHeight="1" x14ac:dyDescent="0.25">
      <c r="A16" s="202"/>
      <c r="B16" s="193">
        <v>6.875</v>
      </c>
      <c r="C16" s="14">
        <v>100.390625</v>
      </c>
      <c r="D16" s="194"/>
      <c r="E16" s="207"/>
      <c r="F16" s="758" t="s">
        <v>35</v>
      </c>
      <c r="G16" s="759">
        <v>0</v>
      </c>
      <c r="H16" s="18">
        <v>0</v>
      </c>
      <c r="I16" s="18">
        <v>-0.375</v>
      </c>
      <c r="J16" s="14">
        <v>-0.375</v>
      </c>
      <c r="K16" s="18">
        <v>-0.5</v>
      </c>
      <c r="L16" s="18">
        <v>-1</v>
      </c>
      <c r="M16" s="14">
        <v>-1.5</v>
      </c>
      <c r="N16" s="14">
        <v>-2.5</v>
      </c>
      <c r="O16" s="194" t="s">
        <v>642</v>
      </c>
      <c r="P16" s="202"/>
      <c r="Q16" s="760" t="s">
        <v>36</v>
      </c>
      <c r="R16" s="761"/>
      <c r="S16" s="16" t="s">
        <v>37</v>
      </c>
      <c r="T16" s="310">
        <f>IF(OR($S$11="", $S$16="", $S$16="NONE"),0,
   INDEX($H$77:$O$80,
         MATCH($S$16,$F$77:$F$80,0),
         MATCH($S$11,$H$10:$O$10,0)))</f>
        <v>0</v>
      </c>
      <c r="U16" s="202"/>
      <c r="V16" s="17"/>
    </row>
    <row r="17" spans="1:26" ht="15" customHeight="1" x14ac:dyDescent="0.25">
      <c r="A17" s="202"/>
      <c r="B17" s="193">
        <v>6.9989999999999997</v>
      </c>
      <c r="C17" s="14">
        <v>100.796875</v>
      </c>
      <c r="D17" s="194"/>
      <c r="E17" s="207"/>
      <c r="F17" s="758" t="s">
        <v>38</v>
      </c>
      <c r="G17" s="759">
        <v>0</v>
      </c>
      <c r="H17" s="18">
        <v>-0.5</v>
      </c>
      <c r="I17" s="18">
        <v>-0.5</v>
      </c>
      <c r="J17" s="14">
        <v>-0.5</v>
      </c>
      <c r="K17" s="18">
        <v>-1</v>
      </c>
      <c r="L17" s="18">
        <v>-1.5</v>
      </c>
      <c r="M17" s="14">
        <v>-2.25</v>
      </c>
      <c r="N17" s="195" t="s">
        <v>642</v>
      </c>
      <c r="O17" s="194" t="s">
        <v>642</v>
      </c>
      <c r="P17" s="202"/>
      <c r="Q17" s="760" t="s">
        <v>39</v>
      </c>
      <c r="R17" s="761"/>
      <c r="S17" s="16" t="s">
        <v>176</v>
      </c>
      <c r="T17" s="310">
        <v>0</v>
      </c>
      <c r="U17" s="202"/>
      <c r="V17" s="17"/>
    </row>
    <row r="18" spans="1:26" ht="15" customHeight="1" x14ac:dyDescent="0.25">
      <c r="A18" s="202"/>
      <c r="B18" s="193">
        <v>7.125</v>
      </c>
      <c r="C18" s="14">
        <v>101.171875</v>
      </c>
      <c r="D18" s="194"/>
      <c r="E18" s="207"/>
      <c r="F18" s="758" t="s">
        <v>40</v>
      </c>
      <c r="G18" s="759">
        <v>0</v>
      </c>
      <c r="H18" s="18">
        <v>-1</v>
      </c>
      <c r="I18" s="18">
        <v>-1.25</v>
      </c>
      <c r="J18" s="14">
        <v>-1.25</v>
      </c>
      <c r="K18" s="18">
        <v>-1.75</v>
      </c>
      <c r="L18" s="18">
        <v>-2.25</v>
      </c>
      <c r="M18" s="14">
        <v>-3.25</v>
      </c>
      <c r="N18" s="195" t="s">
        <v>642</v>
      </c>
      <c r="O18" s="194" t="s">
        <v>642</v>
      </c>
      <c r="P18" s="202"/>
      <c r="Q18" s="760" t="s">
        <v>41</v>
      </c>
      <c r="R18" s="761"/>
      <c r="S18" s="16" t="s">
        <v>210</v>
      </c>
      <c r="T18" s="310">
        <f>IF(OR($S$11="", $S$18="", $S$18="None in this Dropdown"),0,
   INDEX($H$46:$O$49,
         MATCH($S$18,$F$46:$F$49,0),
         MATCH($S$11,$H$10:$O$10,0)))</f>
        <v>0</v>
      </c>
      <c r="U18" s="202"/>
      <c r="V18" s="17"/>
    </row>
    <row r="19" spans="1:26" ht="15.75" customHeight="1" x14ac:dyDescent="0.25">
      <c r="A19" s="202"/>
      <c r="B19" s="193">
        <v>7.25</v>
      </c>
      <c r="C19" s="14">
        <v>101.546875</v>
      </c>
      <c r="D19" s="194"/>
      <c r="E19" s="207"/>
      <c r="F19" s="758" t="s">
        <v>42</v>
      </c>
      <c r="G19" s="759">
        <v>0</v>
      </c>
      <c r="H19" s="18">
        <v>-1.75</v>
      </c>
      <c r="I19" s="18">
        <v>-2</v>
      </c>
      <c r="J19" s="14">
        <v>-2</v>
      </c>
      <c r="K19" s="18">
        <v>-2.5</v>
      </c>
      <c r="L19" s="18">
        <v>-3</v>
      </c>
      <c r="M19" s="195" t="s">
        <v>642</v>
      </c>
      <c r="N19" s="195" t="s">
        <v>642</v>
      </c>
      <c r="O19" s="194" t="s">
        <v>642</v>
      </c>
      <c r="P19" s="202"/>
      <c r="Q19" s="760" t="s">
        <v>43</v>
      </c>
      <c r="R19" s="761"/>
      <c r="S19" s="16" t="s">
        <v>216</v>
      </c>
      <c r="T19" s="310" t="e">
        <f>'Feed(WS)'!$R$175</f>
        <v>#REF!</v>
      </c>
      <c r="U19" s="202"/>
      <c r="V19" s="17"/>
    </row>
    <row r="20" spans="1:26" ht="15.75" customHeight="1" x14ac:dyDescent="0.25">
      <c r="A20" s="202"/>
      <c r="B20" s="193">
        <v>7.375</v>
      </c>
      <c r="C20" s="14">
        <v>101.921875</v>
      </c>
      <c r="D20" s="194"/>
      <c r="E20" s="207"/>
      <c r="F20" s="784"/>
      <c r="G20" s="785"/>
      <c r="H20" s="239"/>
      <c r="I20" s="239"/>
      <c r="J20" s="239"/>
      <c r="K20" s="239"/>
      <c r="L20" s="239"/>
      <c r="M20" s="239"/>
      <c r="N20" s="239"/>
      <c r="O20" s="240"/>
      <c r="P20" s="202"/>
      <c r="Q20" s="760" t="s">
        <v>45</v>
      </c>
      <c r="R20" s="761"/>
      <c r="S20" s="16" t="s">
        <v>31</v>
      </c>
      <c r="T20" s="310" t="e">
        <f>IF(OR($S$11="", $S$20=""), "",
   INDEX($H$36:$O$44,
         MATCH($S$20,$F$36:$F$44,0),
         MATCH($S$11,$H$10:$O$10,0)))</f>
        <v>#N/A</v>
      </c>
      <c r="U20" s="202"/>
      <c r="V20" s="17"/>
      <c r="Z20" s="66"/>
    </row>
    <row r="21" spans="1:26" ht="15.75" customHeight="1" x14ac:dyDescent="0.25">
      <c r="A21" s="202"/>
      <c r="B21" s="193">
        <v>7.4989999999999997</v>
      </c>
      <c r="C21" s="14">
        <v>102.265625</v>
      </c>
      <c r="D21" s="15">
        <v>98.5</v>
      </c>
      <c r="E21" s="207"/>
      <c r="F21" s="835"/>
      <c r="G21" s="836"/>
      <c r="H21" s="836"/>
      <c r="I21" s="836"/>
      <c r="J21" s="836"/>
      <c r="K21" s="836"/>
      <c r="L21" s="836"/>
      <c r="M21" s="836"/>
      <c r="N21" s="836"/>
      <c r="O21" s="837"/>
      <c r="P21" s="202"/>
      <c r="Q21" s="760" t="s">
        <v>46</v>
      </c>
      <c r="R21" s="761"/>
      <c r="S21" s="16" t="s">
        <v>68</v>
      </c>
      <c r="T21" s="310" t="e">
        <f>IF(OR($S$11="", $S$21=""), "",
   INDEX($H$30:$O$34,
         MATCH($S$21,$F$30:$F$34,0),
         MATCH($S$11,$H$10:$O$10,0)))</f>
        <v>#N/A</v>
      </c>
      <c r="U21" s="202"/>
      <c r="V21" s="17"/>
    </row>
    <row r="22" spans="1:26" x14ac:dyDescent="0.25">
      <c r="A22" s="202"/>
      <c r="B22" s="193">
        <v>7.625</v>
      </c>
      <c r="C22" s="14">
        <v>102.578125</v>
      </c>
      <c r="D22" s="15">
        <v>99</v>
      </c>
      <c r="E22" s="207"/>
      <c r="F22" s="819" t="s">
        <v>27</v>
      </c>
      <c r="G22" s="820"/>
      <c r="H22" s="820"/>
      <c r="I22" s="820"/>
      <c r="J22" s="820"/>
      <c r="K22" s="820"/>
      <c r="L22" s="820"/>
      <c r="M22" s="820"/>
      <c r="N22" s="820"/>
      <c r="O22" s="821"/>
      <c r="P22" s="202"/>
      <c r="Q22" s="760" t="s">
        <v>47</v>
      </c>
      <c r="R22" s="761"/>
      <c r="S22" s="16" t="s">
        <v>67</v>
      </c>
      <c r="T22" s="310">
        <v>0</v>
      </c>
      <c r="U22" s="865"/>
      <c r="V22" s="17"/>
    </row>
    <row r="23" spans="1:26" x14ac:dyDescent="0.25">
      <c r="A23" s="202"/>
      <c r="B23" s="193">
        <v>7.75</v>
      </c>
      <c r="C23" s="14">
        <v>102.859375</v>
      </c>
      <c r="D23" s="15">
        <v>99.25</v>
      </c>
      <c r="E23" s="207"/>
      <c r="F23" s="622" t="s">
        <v>179</v>
      </c>
      <c r="G23" s="623"/>
      <c r="H23" s="18">
        <v>0.5</v>
      </c>
      <c r="I23" s="18">
        <v>0.5</v>
      </c>
      <c r="J23" s="18">
        <v>0.5</v>
      </c>
      <c r="K23" s="18">
        <v>0.5</v>
      </c>
      <c r="L23" s="18">
        <v>0.5</v>
      </c>
      <c r="M23" s="18">
        <v>0.5</v>
      </c>
      <c r="N23" s="18" t="s">
        <v>642</v>
      </c>
      <c r="O23" s="19" t="s">
        <v>642</v>
      </c>
      <c r="P23" s="202"/>
      <c r="Q23" s="760" t="s">
        <v>49</v>
      </c>
      <c r="R23" s="761"/>
      <c r="S23" s="16" t="s">
        <v>238</v>
      </c>
      <c r="T23" s="310">
        <v>0</v>
      </c>
      <c r="U23" s="865"/>
      <c r="V23" s="17"/>
      <c r="Z23" s="23"/>
    </row>
    <row r="24" spans="1:26" ht="15.75" customHeight="1" x14ac:dyDescent="0.25">
      <c r="A24" s="202"/>
      <c r="B24" s="193">
        <v>7.875</v>
      </c>
      <c r="C24" s="14">
        <v>103.140625</v>
      </c>
      <c r="D24" s="15">
        <v>99.5</v>
      </c>
      <c r="E24" s="207"/>
      <c r="F24" s="622" t="s">
        <v>180</v>
      </c>
      <c r="G24" s="623"/>
      <c r="H24" s="18">
        <v>0</v>
      </c>
      <c r="I24" s="18">
        <v>0</v>
      </c>
      <c r="J24" s="18">
        <v>0</v>
      </c>
      <c r="K24" s="18">
        <v>0</v>
      </c>
      <c r="L24" s="18">
        <v>0</v>
      </c>
      <c r="M24" s="18">
        <v>0</v>
      </c>
      <c r="N24" s="18">
        <v>0</v>
      </c>
      <c r="O24" s="19">
        <v>0</v>
      </c>
      <c r="P24" s="202"/>
      <c r="Q24" s="760" t="s">
        <v>50</v>
      </c>
      <c r="R24" s="761"/>
      <c r="S24" s="16" t="s">
        <v>31</v>
      </c>
      <c r="T24" s="310" t="e">
        <f>'Feed(WS)'!$P$175</f>
        <v>#REF!</v>
      </c>
      <c r="U24" s="865"/>
      <c r="V24" s="17"/>
      <c r="Z24" s="23"/>
    </row>
    <row r="25" spans="1:26" ht="15.75" customHeight="1" x14ac:dyDescent="0.25">
      <c r="A25" s="202"/>
      <c r="B25" s="193">
        <v>7.9989999999999997</v>
      </c>
      <c r="C25" s="14">
        <v>103.421875</v>
      </c>
      <c r="D25" s="15">
        <v>100</v>
      </c>
      <c r="E25" s="207"/>
      <c r="F25" s="622" t="s">
        <v>181</v>
      </c>
      <c r="G25" s="623"/>
      <c r="H25" s="18">
        <v>0</v>
      </c>
      <c r="I25" s="18">
        <v>0</v>
      </c>
      <c r="J25" s="18">
        <v>0</v>
      </c>
      <c r="K25" s="18">
        <v>0</v>
      </c>
      <c r="L25" s="18">
        <v>0</v>
      </c>
      <c r="M25" s="18">
        <v>0</v>
      </c>
      <c r="N25" s="18">
        <v>0</v>
      </c>
      <c r="O25" s="18">
        <v>0</v>
      </c>
      <c r="P25" s="202"/>
      <c r="Q25" s="760" t="s">
        <v>52</v>
      </c>
      <c r="R25" s="761"/>
      <c r="S25" s="16" t="s">
        <v>53</v>
      </c>
      <c r="T25" s="310" t="e">
        <f>'Feed(WS)'!$O$175</f>
        <v>#REF!</v>
      </c>
      <c r="U25" s="865"/>
      <c r="V25" s="17"/>
    </row>
    <row r="26" spans="1:26" x14ac:dyDescent="0.25">
      <c r="A26" s="202"/>
      <c r="B26" s="193">
        <v>8.125</v>
      </c>
      <c r="C26" s="14">
        <v>103.703125</v>
      </c>
      <c r="D26" s="15">
        <v>100.25</v>
      </c>
      <c r="E26" s="207"/>
      <c r="F26" s="622" t="s">
        <v>182</v>
      </c>
      <c r="G26" s="623"/>
      <c r="H26" s="18">
        <v>-2</v>
      </c>
      <c r="I26" s="18">
        <v>-2</v>
      </c>
      <c r="J26" s="18">
        <v>-2</v>
      </c>
      <c r="K26" s="18">
        <v>-2</v>
      </c>
      <c r="L26" s="18">
        <v>-2</v>
      </c>
      <c r="M26" s="18">
        <v>-2</v>
      </c>
      <c r="N26" s="18" t="s">
        <v>642</v>
      </c>
      <c r="O26" s="19" t="s">
        <v>642</v>
      </c>
      <c r="P26" s="202"/>
      <c r="Q26" s="760" t="s">
        <v>55</v>
      </c>
      <c r="R26" s="761"/>
      <c r="S26" s="16" t="s">
        <v>56</v>
      </c>
      <c r="T26" s="310" t="e">
        <f>'Feed(WS)'!$Q$180</f>
        <v>#REF!</v>
      </c>
      <c r="U26" s="865"/>
      <c r="V26" s="17"/>
    </row>
    <row r="27" spans="1:26" ht="15.75" customHeight="1" x14ac:dyDescent="0.25">
      <c r="A27" s="202"/>
      <c r="B27" s="193">
        <v>8.25</v>
      </c>
      <c r="C27" s="14">
        <v>103.984375</v>
      </c>
      <c r="D27" s="15">
        <v>100.5</v>
      </c>
      <c r="E27" s="207"/>
      <c r="F27" s="622" t="s">
        <v>183</v>
      </c>
      <c r="G27" s="623"/>
      <c r="H27" s="18">
        <v>-3</v>
      </c>
      <c r="I27" s="18">
        <v>-3</v>
      </c>
      <c r="J27" s="18">
        <v>-3</v>
      </c>
      <c r="K27" s="18">
        <v>-3</v>
      </c>
      <c r="L27" s="18">
        <v>-3</v>
      </c>
      <c r="M27" s="18" t="s">
        <v>642</v>
      </c>
      <c r="N27" s="18" t="s">
        <v>642</v>
      </c>
      <c r="O27" s="19" t="s">
        <v>642</v>
      </c>
      <c r="P27" s="202"/>
      <c r="Q27" s="760" t="s">
        <v>58</v>
      </c>
      <c r="R27" s="761"/>
      <c r="S27" s="16" t="s">
        <v>31</v>
      </c>
      <c r="T27" s="310">
        <f>IF($S$11="", "",
   IF($S$27="Choose a Selection",0,
      INDEX($H$51:$O$62,
           MATCH($S$27,$F$51:$F$62,0),
           MATCH($S$11,$H$10:$O$10,0))))</f>
        <v>0</v>
      </c>
      <c r="U27" s="865"/>
      <c r="V27" s="17"/>
      <c r="W27" s="3"/>
      <c r="X27" s="3"/>
      <c r="Y27" s="3"/>
    </row>
    <row r="28" spans="1:26" ht="15.75" customHeight="1" x14ac:dyDescent="0.25">
      <c r="A28" s="202"/>
      <c r="B28" s="193">
        <v>8.375</v>
      </c>
      <c r="C28" s="14">
        <v>104.265625</v>
      </c>
      <c r="D28" s="15">
        <v>100.75</v>
      </c>
      <c r="E28" s="207"/>
      <c r="F28" s="622" t="s">
        <v>184</v>
      </c>
      <c r="G28" s="623"/>
      <c r="H28" s="18">
        <v>-0.5</v>
      </c>
      <c r="I28" s="18">
        <v>-0.5</v>
      </c>
      <c r="J28" s="18">
        <v>-0.5</v>
      </c>
      <c r="K28" s="18">
        <v>-0.5</v>
      </c>
      <c r="L28" s="18">
        <v>-0.5</v>
      </c>
      <c r="M28" s="18">
        <v>-0.5</v>
      </c>
      <c r="N28" s="18">
        <v>-0.5</v>
      </c>
      <c r="O28" s="19" t="s">
        <v>642</v>
      </c>
      <c r="P28" s="202"/>
      <c r="Q28" s="760" t="s">
        <v>60</v>
      </c>
      <c r="R28" s="761"/>
      <c r="S28" s="16"/>
      <c r="T28" s="310">
        <v>0</v>
      </c>
      <c r="U28" s="865"/>
      <c r="V28" s="17"/>
      <c r="W28" s="3"/>
      <c r="X28" s="3"/>
      <c r="Y28" s="3"/>
    </row>
    <row r="29" spans="1:26" x14ac:dyDescent="0.25">
      <c r="A29" s="202"/>
      <c r="B29" s="193">
        <v>8.4990000000000006</v>
      </c>
      <c r="C29" s="14">
        <v>104.546875</v>
      </c>
      <c r="D29" s="15">
        <v>101</v>
      </c>
      <c r="E29" s="207"/>
      <c r="F29" s="819" t="s">
        <v>47</v>
      </c>
      <c r="G29" s="820"/>
      <c r="H29" s="820"/>
      <c r="I29" s="820"/>
      <c r="J29" s="820"/>
      <c r="K29" s="820"/>
      <c r="L29" s="820"/>
      <c r="M29" s="820"/>
      <c r="N29" s="820"/>
      <c r="O29" s="821"/>
      <c r="P29" s="202"/>
      <c r="Q29" s="760" t="s">
        <v>62</v>
      </c>
      <c r="R29" s="761"/>
      <c r="S29" s="16" t="s">
        <v>31</v>
      </c>
      <c r="T29" s="310" t="e">
        <f>'Feed(WS)'!$O$185</f>
        <v>#REF!</v>
      </c>
      <c r="U29" s="865"/>
      <c r="V29" s="17"/>
      <c r="W29" s="24"/>
      <c r="X29" s="24"/>
      <c r="Y29" s="24"/>
    </row>
    <row r="30" spans="1:26" x14ac:dyDescent="0.25">
      <c r="A30" s="202"/>
      <c r="B30" s="193">
        <v>8.625</v>
      </c>
      <c r="C30" s="14">
        <v>104.796875</v>
      </c>
      <c r="D30" s="15">
        <v>101.25</v>
      </c>
      <c r="E30" s="207"/>
      <c r="F30" s="782" t="s">
        <v>68</v>
      </c>
      <c r="G30" s="783"/>
      <c r="H30" s="18">
        <v>0</v>
      </c>
      <c r="I30" s="18">
        <v>0</v>
      </c>
      <c r="J30" s="18">
        <v>0</v>
      </c>
      <c r="K30" s="18">
        <v>0</v>
      </c>
      <c r="L30" s="18">
        <v>0</v>
      </c>
      <c r="M30" s="18">
        <v>0</v>
      </c>
      <c r="N30" s="18">
        <v>0</v>
      </c>
      <c r="O30" s="19">
        <v>0</v>
      </c>
      <c r="P30" s="202"/>
      <c r="Q30" s="760" t="s">
        <v>64</v>
      </c>
      <c r="R30" s="761"/>
      <c r="S30" s="25" t="s">
        <v>65</v>
      </c>
      <c r="T30" s="310" t="e">
        <f>'Feed(WS)'!$R$180</f>
        <v>#REF!</v>
      </c>
      <c r="U30" s="865"/>
      <c r="V30" s="17"/>
    </row>
    <row r="31" spans="1:26" x14ac:dyDescent="0.25">
      <c r="A31" s="202"/>
      <c r="B31" s="193">
        <v>8.75</v>
      </c>
      <c r="C31" s="14">
        <v>105.046875</v>
      </c>
      <c r="D31" s="15">
        <v>101.5</v>
      </c>
      <c r="E31" s="207"/>
      <c r="F31" s="782" t="s">
        <v>70</v>
      </c>
      <c r="G31" s="783"/>
      <c r="H31" s="18">
        <v>0</v>
      </c>
      <c r="I31" s="18">
        <v>0</v>
      </c>
      <c r="J31" s="18">
        <v>0</v>
      </c>
      <c r="K31" s="18">
        <v>0</v>
      </c>
      <c r="L31" s="18">
        <v>-0.25</v>
      </c>
      <c r="M31" s="18">
        <v>-0.375</v>
      </c>
      <c r="N31" s="18">
        <v>-0.5</v>
      </c>
      <c r="O31" s="19">
        <v>-0.5</v>
      </c>
      <c r="P31" s="202"/>
      <c r="Q31" s="760" t="s">
        <v>66</v>
      </c>
      <c r="R31" s="761"/>
      <c r="S31" s="25" t="s">
        <v>67</v>
      </c>
      <c r="T31" s="310" cm="1">
        <f t="array" ref="T31">IF(OR(
      AND(OR($S$31='Feed(WS)'!$R$4:$R$5), $S$21&lt;&gt;'Feed(WS)'!$J$3),
      AND(OR($S$31='Feed(WS)'!$R$4:$R$5), $S$25&lt;&gt;'Feed(WS)'!$M$4),
      AND(OR($S$31='Feed(WS)'!$R$4:$R$5), $S$21&lt;&gt;'Feed(WS)'!$L$3:$L$4),
   ),
   NA(),
   0)</f>
        <v>0</v>
      </c>
      <c r="U31" s="865"/>
      <c r="V31" s="17"/>
    </row>
    <row r="32" spans="1:26" x14ac:dyDescent="0.25">
      <c r="A32" s="202"/>
      <c r="B32" s="193">
        <v>8.875</v>
      </c>
      <c r="C32" s="14">
        <v>105.296875</v>
      </c>
      <c r="D32" s="15">
        <v>101.75</v>
      </c>
      <c r="E32" s="207"/>
      <c r="F32" s="782" t="s">
        <v>72</v>
      </c>
      <c r="G32" s="783"/>
      <c r="H32" s="18">
        <v>-0.125</v>
      </c>
      <c r="I32" s="18">
        <v>-0.125</v>
      </c>
      <c r="J32" s="18">
        <v>-0.375</v>
      </c>
      <c r="K32" s="18">
        <v>-0.5</v>
      </c>
      <c r="L32" s="18">
        <v>-0.75</v>
      </c>
      <c r="M32" s="18">
        <v>-1</v>
      </c>
      <c r="N32" s="18" t="s">
        <v>642</v>
      </c>
      <c r="O32" s="19" t="s">
        <v>642</v>
      </c>
      <c r="P32" s="202"/>
      <c r="Q32" s="760" t="s">
        <v>69</v>
      </c>
      <c r="R32" s="761"/>
      <c r="S32" s="25" t="s">
        <v>67</v>
      </c>
      <c r="T32" s="310">
        <v>0</v>
      </c>
      <c r="U32" s="865"/>
      <c r="V32" s="17"/>
    </row>
    <row r="33" spans="1:26" ht="15.75" customHeight="1" x14ac:dyDescent="0.25">
      <c r="A33" s="202"/>
      <c r="B33" s="193">
        <v>8.9990000000000006</v>
      </c>
      <c r="C33" s="14">
        <v>105.546875</v>
      </c>
      <c r="D33" s="15">
        <v>102.25</v>
      </c>
      <c r="E33" s="207"/>
      <c r="F33" s="782" t="s">
        <v>75</v>
      </c>
      <c r="G33" s="783"/>
      <c r="H33" s="18">
        <v>-0.25</v>
      </c>
      <c r="I33" s="18">
        <v>-0.25</v>
      </c>
      <c r="J33" s="18">
        <v>-0.25</v>
      </c>
      <c r="K33" s="18">
        <v>-0.25</v>
      </c>
      <c r="L33" s="18">
        <v>-0.25</v>
      </c>
      <c r="M33" s="18">
        <v>-0.5</v>
      </c>
      <c r="N33" s="18">
        <v>-0.625</v>
      </c>
      <c r="O33" s="19" t="s">
        <v>642</v>
      </c>
      <c r="P33" s="202"/>
      <c r="Q33" s="196" t="s">
        <v>73</v>
      </c>
      <c r="R33" s="197"/>
      <c r="S33" s="26" t="str">
        <f>IF(ISNA(V33),"Yes",IF(V33=0,"No",""))</f>
        <v>No</v>
      </c>
      <c r="T33" s="310">
        <f>'Feed(WS)'!$B$67</f>
        <v>0</v>
      </c>
      <c r="U33" s="865"/>
      <c r="V33" s="17"/>
    </row>
    <row r="34" spans="1:26" x14ac:dyDescent="0.25">
      <c r="A34" s="202"/>
      <c r="B34" s="193">
        <v>9.125</v>
      </c>
      <c r="C34" s="14">
        <v>105.796875</v>
      </c>
      <c r="D34" s="15">
        <v>102.5</v>
      </c>
      <c r="E34" s="207"/>
      <c r="F34" s="782" t="s">
        <v>76</v>
      </c>
      <c r="G34" s="783"/>
      <c r="H34" s="18">
        <v>-0.5</v>
      </c>
      <c r="I34" s="18">
        <v>-0.5</v>
      </c>
      <c r="J34" s="18">
        <v>-0.625</v>
      </c>
      <c r="K34" s="18">
        <v>-0.75</v>
      </c>
      <c r="L34" s="18">
        <v>-1</v>
      </c>
      <c r="M34" s="18">
        <v>-1.25</v>
      </c>
      <c r="N34" s="18" t="s">
        <v>642</v>
      </c>
      <c r="O34" s="19" t="s">
        <v>642</v>
      </c>
      <c r="P34" s="202"/>
      <c r="Q34" s="196" t="s">
        <v>73</v>
      </c>
      <c r="R34" s="197"/>
      <c r="S34" s="26" t="s">
        <v>74</v>
      </c>
      <c r="T34" s="310">
        <v>0</v>
      </c>
      <c r="U34" s="865"/>
      <c r="V34" s="17"/>
    </row>
    <row r="35" spans="1:26" ht="15.75" customHeight="1" x14ac:dyDescent="0.25">
      <c r="A35" s="202"/>
      <c r="B35" s="193">
        <v>9.25</v>
      </c>
      <c r="C35" s="14">
        <v>105.921875</v>
      </c>
      <c r="D35" s="15">
        <v>102.75</v>
      </c>
      <c r="E35" s="207"/>
      <c r="F35" s="819" t="s">
        <v>78</v>
      </c>
      <c r="G35" s="820"/>
      <c r="H35" s="820"/>
      <c r="I35" s="820"/>
      <c r="J35" s="820"/>
      <c r="K35" s="820"/>
      <c r="L35" s="820"/>
      <c r="M35" s="820"/>
      <c r="N35" s="820"/>
      <c r="O35" s="821"/>
      <c r="P35" s="202"/>
      <c r="Q35" s="760" t="s">
        <v>207</v>
      </c>
      <c r="R35" s="761"/>
      <c r="S35" s="26" t="str">
        <f>IF(V36=0,'Feed(WS)'!Y4,'Feed(WS)'!Y5)</f>
        <v>Not Applicable</v>
      </c>
      <c r="T35" s="310" t="b">
        <f>'Feed(WS)'!$Z$1</f>
        <v>0</v>
      </c>
      <c r="U35" s="865"/>
      <c r="V35" s="17"/>
    </row>
    <row r="36" spans="1:26" x14ac:dyDescent="0.25">
      <c r="A36" s="202"/>
      <c r="B36" s="193">
        <v>9.375</v>
      </c>
      <c r="C36" s="14">
        <v>106.046875</v>
      </c>
      <c r="D36" s="15">
        <v>103</v>
      </c>
      <c r="E36" s="207"/>
      <c r="F36" s="782" t="s">
        <v>80</v>
      </c>
      <c r="G36" s="783"/>
      <c r="H36" s="18">
        <v>-0.25</v>
      </c>
      <c r="I36" s="18">
        <v>-0.5</v>
      </c>
      <c r="J36" s="18">
        <v>-0.5</v>
      </c>
      <c r="K36" s="18">
        <v>-0.5</v>
      </c>
      <c r="L36" s="18">
        <v>-0.75</v>
      </c>
      <c r="M36" s="18">
        <v>-1</v>
      </c>
      <c r="N36" s="18">
        <v>-1.25</v>
      </c>
      <c r="O36" s="19">
        <v>-1.5</v>
      </c>
      <c r="P36" s="202"/>
      <c r="Q36" s="763" t="s">
        <v>77</v>
      </c>
      <c r="R36" s="764"/>
      <c r="S36" s="765"/>
      <c r="T36" s="199" t="e">
        <f>SUM($T$12:$T$35)</f>
        <v>#N/A</v>
      </c>
      <c r="U36" s="865"/>
      <c r="V36" s="17"/>
    </row>
    <row r="37" spans="1:26" ht="15.75" customHeight="1" x14ac:dyDescent="0.25">
      <c r="A37" s="202"/>
      <c r="B37" s="193">
        <v>9.4990000000000006</v>
      </c>
      <c r="C37" s="14">
        <v>106.171875</v>
      </c>
      <c r="D37" s="15">
        <v>103.25</v>
      </c>
      <c r="E37" s="207"/>
      <c r="F37" s="782" t="s">
        <v>82</v>
      </c>
      <c r="G37" s="783"/>
      <c r="H37" s="18">
        <v>0</v>
      </c>
      <c r="I37" s="18">
        <v>0</v>
      </c>
      <c r="J37" s="18">
        <v>0</v>
      </c>
      <c r="K37" s="18">
        <v>0</v>
      </c>
      <c r="L37" s="18">
        <v>0</v>
      </c>
      <c r="M37" s="18">
        <v>0</v>
      </c>
      <c r="N37" s="18">
        <v>-0.25</v>
      </c>
      <c r="O37" s="19">
        <v>-0.5</v>
      </c>
      <c r="P37" s="202"/>
      <c r="Q37" s="763" t="s">
        <v>79</v>
      </c>
      <c r="R37" s="764"/>
      <c r="S37" s="765"/>
      <c r="T37" s="199" cm="1">
        <f t="array" ref="T37">IF(AND($S$24='Feed(WS)'!$K$6,$S$17='Feed(WS)'!$D$5),INDEX($B$10:$D$50,MATCH($S$10,$B$10:$B$50,0),MATCH($S$24,$B$10:$D$10,0)),INDEX($B$10:$D$50,MATCH($S$10,$B$10:$B$50,0),MATCH($S$17,$B$10:$D$10,0)+1))</f>
        <v>0</v>
      </c>
      <c r="U37" s="865"/>
      <c r="V37" s="17"/>
      <c r="Z37" s="24"/>
    </row>
    <row r="38" spans="1:26" ht="15.75" customHeight="1" x14ac:dyDescent="0.25">
      <c r="A38" s="202"/>
      <c r="B38" s="193">
        <v>9.625</v>
      </c>
      <c r="C38" s="14">
        <v>106.296875</v>
      </c>
      <c r="D38" s="15">
        <v>103.5</v>
      </c>
      <c r="E38" s="207"/>
      <c r="F38" s="782" t="s">
        <v>84</v>
      </c>
      <c r="G38" s="783"/>
      <c r="H38" s="18">
        <v>0</v>
      </c>
      <c r="I38" s="18">
        <v>0</v>
      </c>
      <c r="J38" s="18">
        <v>0</v>
      </c>
      <c r="K38" s="18">
        <v>0</v>
      </c>
      <c r="L38" s="18">
        <v>0</v>
      </c>
      <c r="M38" s="18">
        <v>0</v>
      </c>
      <c r="N38" s="18">
        <v>0</v>
      </c>
      <c r="O38" s="19">
        <v>0</v>
      </c>
      <c r="P38" s="202"/>
      <c r="Q38" s="763" t="s">
        <v>81</v>
      </c>
      <c r="R38" s="764"/>
      <c r="S38" s="765"/>
      <c r="T38" s="199" t="str">
        <f>IFERROR(IF(AND($U$10&lt;&gt;'Feed(WS)'!$K$134,$T$39=$T$64),NA(),$T$37+$T$36),"#N/A")</f>
        <v>#N/A</v>
      </c>
      <c r="U38" s="865"/>
      <c r="V38" s="17"/>
    </row>
    <row r="39" spans="1:26" ht="15.75" customHeight="1" x14ac:dyDescent="0.25">
      <c r="A39" s="202"/>
      <c r="B39" s="193">
        <v>9.75</v>
      </c>
      <c r="C39" s="14">
        <v>106.421875</v>
      </c>
      <c r="D39" s="15">
        <v>103.75</v>
      </c>
      <c r="E39" s="207"/>
      <c r="F39" s="622" t="s">
        <v>86</v>
      </c>
      <c r="G39" s="623"/>
      <c r="H39" s="18">
        <v>0.375</v>
      </c>
      <c r="I39" s="18">
        <v>0.25</v>
      </c>
      <c r="J39" s="18">
        <v>0.25</v>
      </c>
      <c r="K39" s="18">
        <v>0.25</v>
      </c>
      <c r="L39" s="18">
        <v>0.25</v>
      </c>
      <c r="M39" s="18">
        <v>0</v>
      </c>
      <c r="N39" s="18">
        <v>0</v>
      </c>
      <c r="O39" s="19">
        <v>0</v>
      </c>
      <c r="P39" s="202"/>
      <c r="Q39" s="763" t="s">
        <v>83</v>
      </c>
      <c r="R39" s="764"/>
      <c r="S39" s="765"/>
      <c r="T39" s="199" t="e">
        <f>IF(OR('Feed(WS)'!$E$147=0, ISERROR('Feed(WS)'!$E$147)), NA(), 'Feed(WS)'!$E$147)</f>
        <v>#N/A</v>
      </c>
      <c r="U39" s="865"/>
      <c r="V39" s="17"/>
    </row>
    <row r="40" spans="1:26" ht="14.25" customHeight="1" x14ac:dyDescent="0.25">
      <c r="A40" s="202"/>
      <c r="B40" s="193">
        <v>9.875</v>
      </c>
      <c r="C40" s="14">
        <v>106.546875</v>
      </c>
      <c r="D40" s="15">
        <v>104</v>
      </c>
      <c r="E40" s="207"/>
      <c r="F40" s="622" t="s">
        <v>87</v>
      </c>
      <c r="G40" s="623"/>
      <c r="H40" s="18">
        <v>0</v>
      </c>
      <c r="I40" s="18">
        <v>0</v>
      </c>
      <c r="J40" s="18">
        <v>0</v>
      </c>
      <c r="K40" s="18">
        <v>0</v>
      </c>
      <c r="L40" s="18">
        <v>0</v>
      </c>
      <c r="M40" s="18">
        <v>0</v>
      </c>
      <c r="N40" s="18">
        <v>0</v>
      </c>
      <c r="O40" s="19">
        <v>0</v>
      </c>
      <c r="P40" s="202"/>
      <c r="Q40" s="766" t="s">
        <v>85</v>
      </c>
      <c r="R40" s="767"/>
      <c r="S40" s="768"/>
      <c r="T40" s="200" t="e">
        <f>IF(OR($T$36="#NA",$T$37="#NA"),NA(),IF(AND($U$9&lt;&gt;'Feed(WS)'!$K$134,$T$39=$T$64),NA(),IF($T$38&gt;$T$39,$T$39,$T$38)))</f>
        <v>#N/A</v>
      </c>
      <c r="U40" s="865"/>
      <c r="V40" s="17"/>
    </row>
    <row r="41" spans="1:26" ht="14.25" customHeight="1" x14ac:dyDescent="0.25">
      <c r="A41" s="202"/>
      <c r="B41" s="193">
        <v>9.9990000000000006</v>
      </c>
      <c r="C41" s="14">
        <v>106.671875</v>
      </c>
      <c r="D41" s="15">
        <v>104.25</v>
      </c>
      <c r="E41" s="207"/>
      <c r="F41" s="622" t="s">
        <v>89</v>
      </c>
      <c r="G41" s="623"/>
      <c r="H41" s="18">
        <v>-0.125</v>
      </c>
      <c r="I41" s="18">
        <v>-0.125</v>
      </c>
      <c r="J41" s="18">
        <v>-0.125</v>
      </c>
      <c r="K41" s="18">
        <v>-0.25</v>
      </c>
      <c r="L41" s="18">
        <v>-0.25</v>
      </c>
      <c r="M41" s="18">
        <v>-0.25</v>
      </c>
      <c r="N41" s="18">
        <v>-0.5</v>
      </c>
      <c r="O41" s="19" t="s">
        <v>642</v>
      </c>
      <c r="P41" s="202"/>
      <c r="Q41" s="766" t="str" cm="1">
        <f t="array" ref="Q41">IF(OR($S$11:$S$25="Choose a Selection"),"",CONCATENATE('Feed(WS)'!$I$134," ",'Feed(WS)'!$K$134,"%"&amp;" @ "&amp;'Feed(WS)'!$L$134))</f>
        <v/>
      </c>
      <c r="R41" s="767"/>
      <c r="S41" s="767"/>
      <c r="T41" s="774"/>
      <c r="U41" s="865"/>
      <c r="V41" s="17"/>
    </row>
    <row r="42" spans="1:26" ht="15.75" customHeight="1" x14ac:dyDescent="0.25">
      <c r="A42" s="202"/>
      <c r="B42" s="193">
        <v>10.125</v>
      </c>
      <c r="C42" s="14">
        <v>106.796875</v>
      </c>
      <c r="D42" s="15">
        <v>104.5</v>
      </c>
      <c r="E42" s="207"/>
      <c r="F42" s="622" t="s">
        <v>90</v>
      </c>
      <c r="G42" s="623"/>
      <c r="H42" s="18">
        <v>-0.375</v>
      </c>
      <c r="I42" s="18">
        <v>-0.375</v>
      </c>
      <c r="J42" s="18">
        <v>-0.5</v>
      </c>
      <c r="K42" s="18">
        <v>-0.5</v>
      </c>
      <c r="L42" s="18">
        <v>-0.5</v>
      </c>
      <c r="M42" s="18">
        <v>-0.5</v>
      </c>
      <c r="N42" s="18">
        <v>-0.75</v>
      </c>
      <c r="O42" s="19" t="s">
        <v>642</v>
      </c>
      <c r="P42" s="202"/>
      <c r="Q42" s="822" t="s">
        <v>88</v>
      </c>
      <c r="R42" s="822"/>
      <c r="S42" s="822"/>
      <c r="T42" s="823"/>
      <c r="U42" s="865"/>
      <c r="V42" s="17"/>
    </row>
    <row r="43" spans="1:26" ht="14.25" customHeight="1" x14ac:dyDescent="0.25">
      <c r="A43" s="202"/>
      <c r="B43" s="193">
        <v>10.25</v>
      </c>
      <c r="C43" s="14">
        <v>106.921875</v>
      </c>
      <c r="D43" s="15">
        <v>104.75</v>
      </c>
      <c r="E43" s="207"/>
      <c r="F43" s="622" t="s">
        <v>91</v>
      </c>
      <c r="G43" s="623"/>
      <c r="H43" s="18">
        <v>-1</v>
      </c>
      <c r="I43" s="18">
        <v>-1</v>
      </c>
      <c r="J43" s="18">
        <v>-1</v>
      </c>
      <c r="K43" s="18">
        <v>-1</v>
      </c>
      <c r="L43" s="18">
        <v>-1.25</v>
      </c>
      <c r="M43" s="18">
        <v>-1.5</v>
      </c>
      <c r="N43" s="18" t="s">
        <v>642</v>
      </c>
      <c r="O43" s="19" t="s">
        <v>642</v>
      </c>
      <c r="P43" s="202"/>
      <c r="Q43" s="824"/>
      <c r="R43" s="824"/>
      <c r="S43" s="824"/>
      <c r="T43" s="825"/>
      <c r="U43" s="865"/>
      <c r="V43" s="17"/>
    </row>
    <row r="44" spans="1:26" ht="15.75" customHeight="1" x14ac:dyDescent="0.25">
      <c r="A44" s="202"/>
      <c r="B44" s="193">
        <v>10.375</v>
      </c>
      <c r="C44" s="14">
        <v>107.046875</v>
      </c>
      <c r="D44" s="15">
        <v>105</v>
      </c>
      <c r="E44" s="207"/>
      <c r="F44" s="622" t="s">
        <v>92</v>
      </c>
      <c r="G44" s="623"/>
      <c r="H44" s="18">
        <v>-2</v>
      </c>
      <c r="I44" s="18">
        <v>-2.25</v>
      </c>
      <c r="J44" s="18">
        <v>-2.5</v>
      </c>
      <c r="K44" s="18">
        <v>-3</v>
      </c>
      <c r="L44" s="18" t="s">
        <v>642</v>
      </c>
      <c r="M44" s="18" t="s">
        <v>642</v>
      </c>
      <c r="N44" s="18" t="s">
        <v>642</v>
      </c>
      <c r="O44" s="19" t="s">
        <v>642</v>
      </c>
      <c r="P44" s="202"/>
      <c r="Q44" s="824"/>
      <c r="R44" s="824"/>
      <c r="S44" s="824"/>
      <c r="T44" s="825"/>
      <c r="U44" s="865"/>
      <c r="V44" s="17"/>
    </row>
    <row r="45" spans="1:26" ht="14.25" customHeight="1" x14ac:dyDescent="0.25">
      <c r="A45" s="202"/>
      <c r="B45" s="193">
        <v>10.499000000000001</v>
      </c>
      <c r="C45" s="14">
        <v>107.171875</v>
      </c>
      <c r="D45" s="15">
        <v>105.25</v>
      </c>
      <c r="E45" s="207"/>
      <c r="F45" s="819" t="s">
        <v>185</v>
      </c>
      <c r="G45" s="820"/>
      <c r="H45" s="820"/>
      <c r="I45" s="820"/>
      <c r="J45" s="820"/>
      <c r="K45" s="820"/>
      <c r="L45" s="820"/>
      <c r="M45" s="820"/>
      <c r="N45" s="820"/>
      <c r="O45" s="821"/>
      <c r="P45" s="202"/>
      <c r="Q45" s="824"/>
      <c r="R45" s="824"/>
      <c r="S45" s="824"/>
      <c r="T45" s="825"/>
      <c r="U45" s="865"/>
      <c r="V45" s="17"/>
    </row>
    <row r="46" spans="1:26" ht="14.25" customHeight="1" x14ac:dyDescent="0.25">
      <c r="A46" s="202"/>
      <c r="B46" s="193">
        <v>10.625</v>
      </c>
      <c r="C46" s="14">
        <v>107.296875</v>
      </c>
      <c r="D46" s="15">
        <v>105.5</v>
      </c>
      <c r="E46" s="207"/>
      <c r="F46" s="782" t="s">
        <v>98</v>
      </c>
      <c r="G46" s="783"/>
      <c r="H46" s="18">
        <v>-1</v>
      </c>
      <c r="I46" s="18">
        <v>-1</v>
      </c>
      <c r="J46" s="18">
        <v>-1</v>
      </c>
      <c r="K46" s="18">
        <v>-1</v>
      </c>
      <c r="L46" s="18">
        <v>-1</v>
      </c>
      <c r="M46" s="18">
        <v>-1.5</v>
      </c>
      <c r="N46" s="18" t="s">
        <v>642</v>
      </c>
      <c r="O46" s="19" t="s">
        <v>642</v>
      </c>
      <c r="P46" s="202"/>
      <c r="Q46" s="829"/>
      <c r="R46" s="829"/>
      <c r="S46" s="829"/>
      <c r="T46" s="830"/>
      <c r="U46" s="865"/>
      <c r="V46" s="17"/>
    </row>
    <row r="47" spans="1:26" ht="14.25" customHeight="1" x14ac:dyDescent="0.25">
      <c r="A47" s="202"/>
      <c r="B47" s="193">
        <v>10.75</v>
      </c>
      <c r="C47" s="14">
        <v>107.421875</v>
      </c>
      <c r="D47" s="15">
        <v>105.75</v>
      </c>
      <c r="E47" s="207"/>
      <c r="F47" s="782" t="s">
        <v>186</v>
      </c>
      <c r="G47" s="783"/>
      <c r="H47" s="18">
        <v>-0.5</v>
      </c>
      <c r="I47" s="18">
        <v>-0.5</v>
      </c>
      <c r="J47" s="18">
        <v>-0.5</v>
      </c>
      <c r="K47" s="18">
        <v>-0.5</v>
      </c>
      <c r="L47" s="18">
        <v>-0.625</v>
      </c>
      <c r="M47" s="18">
        <v>-0.75</v>
      </c>
      <c r="N47" s="18">
        <v>-1</v>
      </c>
      <c r="O47" s="19" t="s">
        <v>642</v>
      </c>
      <c r="P47" s="202"/>
      <c r="Q47" s="822" t="s">
        <v>94</v>
      </c>
      <c r="R47" s="822"/>
      <c r="S47" s="822"/>
      <c r="T47" s="823"/>
      <c r="U47" s="865"/>
      <c r="V47" s="17"/>
    </row>
    <row r="48" spans="1:26" ht="15.75" customHeight="1" x14ac:dyDescent="0.25">
      <c r="A48" s="202"/>
      <c r="B48" s="193">
        <v>10.875</v>
      </c>
      <c r="C48" s="14">
        <v>107.546875</v>
      </c>
      <c r="D48" s="15">
        <v>106</v>
      </c>
      <c r="E48" s="207"/>
      <c r="F48" s="782" t="s">
        <v>99</v>
      </c>
      <c r="G48" s="783"/>
      <c r="H48" s="18">
        <v>0</v>
      </c>
      <c r="I48" s="18">
        <v>0</v>
      </c>
      <c r="J48" s="18">
        <v>0</v>
      </c>
      <c r="K48" s="18">
        <v>0</v>
      </c>
      <c r="L48" s="18">
        <v>0</v>
      </c>
      <c r="M48" s="18">
        <v>0</v>
      </c>
      <c r="N48" s="18">
        <v>0</v>
      </c>
      <c r="O48" s="19" t="s">
        <v>642</v>
      </c>
      <c r="P48" s="202"/>
      <c r="Q48" s="824"/>
      <c r="R48" s="824"/>
      <c r="S48" s="824"/>
      <c r="T48" s="825"/>
      <c r="U48" s="331"/>
      <c r="V48" s="17"/>
    </row>
    <row r="49" spans="1:22" ht="15.75" customHeight="1" x14ac:dyDescent="0.25">
      <c r="A49" s="202"/>
      <c r="B49" s="193">
        <v>10.999000000000001</v>
      </c>
      <c r="C49" s="14">
        <v>107.671875</v>
      </c>
      <c r="D49" s="15">
        <v>106.25</v>
      </c>
      <c r="E49" s="207"/>
      <c r="F49" s="782" t="s">
        <v>100</v>
      </c>
      <c r="G49" s="783"/>
      <c r="H49" s="18">
        <v>-0.25</v>
      </c>
      <c r="I49" s="18">
        <v>-0.25</v>
      </c>
      <c r="J49" s="18">
        <v>-0.25</v>
      </c>
      <c r="K49" s="18">
        <v>-0.25</v>
      </c>
      <c r="L49" s="18">
        <v>-0.25</v>
      </c>
      <c r="M49" s="18">
        <v>-0.25</v>
      </c>
      <c r="N49" s="18">
        <v>-0.25</v>
      </c>
      <c r="O49" s="19" t="s">
        <v>642</v>
      </c>
      <c r="P49" s="202"/>
      <c r="Q49" s="824"/>
      <c r="R49" s="824"/>
      <c r="S49" s="824"/>
      <c r="T49" s="825"/>
      <c r="U49" s="208"/>
      <c r="V49" s="17"/>
    </row>
    <row r="50" spans="1:22" x14ac:dyDescent="0.25">
      <c r="A50" s="202"/>
      <c r="B50" s="193">
        <v>11.125</v>
      </c>
      <c r="C50" s="14">
        <v>107.796875</v>
      </c>
      <c r="D50" s="15">
        <v>106.5</v>
      </c>
      <c r="E50" s="207"/>
      <c r="F50" s="782" t="s">
        <v>195</v>
      </c>
      <c r="G50" s="783"/>
      <c r="H50" s="18">
        <v>0</v>
      </c>
      <c r="I50" s="18">
        <v>0</v>
      </c>
      <c r="J50" s="18">
        <v>0</v>
      </c>
      <c r="K50" s="18">
        <v>0</v>
      </c>
      <c r="L50" s="18">
        <v>0</v>
      </c>
      <c r="M50" s="18">
        <v>0</v>
      </c>
      <c r="N50" s="18">
        <v>0</v>
      </c>
      <c r="O50" s="19" t="s">
        <v>642</v>
      </c>
      <c r="P50" s="202"/>
      <c r="Q50" s="824"/>
      <c r="R50" s="824"/>
      <c r="S50" s="824"/>
      <c r="T50" s="825"/>
      <c r="U50" s="202"/>
      <c r="V50" s="17"/>
    </row>
    <row r="51" spans="1:22" ht="13.5" customHeight="1" x14ac:dyDescent="0.25">
      <c r="A51" s="202"/>
      <c r="B51" s="314"/>
      <c r="C51" s="314"/>
      <c r="D51" s="314"/>
      <c r="E51" s="202"/>
      <c r="F51" s="819" t="s">
        <v>58</v>
      </c>
      <c r="G51" s="820"/>
      <c r="H51" s="820"/>
      <c r="I51" s="820"/>
      <c r="J51" s="820"/>
      <c r="K51" s="820"/>
      <c r="L51" s="820"/>
      <c r="M51" s="820"/>
      <c r="N51" s="820"/>
      <c r="O51" s="821"/>
      <c r="P51" s="208"/>
      <c r="Q51" s="314"/>
      <c r="R51" s="314"/>
      <c r="S51" s="314"/>
      <c r="T51" s="314"/>
      <c r="U51" s="202"/>
    </row>
    <row r="52" spans="1:22" ht="15.75" customHeight="1" x14ac:dyDescent="0.25">
      <c r="A52" s="202"/>
      <c r="B52" s="315"/>
      <c r="C52" s="315"/>
      <c r="D52" s="315"/>
      <c r="E52" s="202"/>
      <c r="F52" s="622" t="s">
        <v>102</v>
      </c>
      <c r="G52" s="623"/>
      <c r="H52" s="67">
        <v>-1</v>
      </c>
      <c r="I52" s="67">
        <v>-1</v>
      </c>
      <c r="J52" s="67">
        <v>-1</v>
      </c>
      <c r="K52" s="67">
        <v>-1</v>
      </c>
      <c r="L52" s="67">
        <v>-1</v>
      </c>
      <c r="M52" s="67">
        <v>-1</v>
      </c>
      <c r="N52" s="67">
        <v>-1</v>
      </c>
      <c r="O52" s="68">
        <v>-1</v>
      </c>
      <c r="P52" s="202"/>
      <c r="Q52" s="315"/>
      <c r="R52" s="315"/>
      <c r="S52" s="315"/>
      <c r="T52" s="315"/>
      <c r="U52" s="202"/>
    </row>
    <row r="53" spans="1:22" x14ac:dyDescent="0.25">
      <c r="A53" s="202"/>
      <c r="B53" s="324"/>
      <c r="C53" s="324"/>
      <c r="D53" s="324"/>
      <c r="E53" s="209"/>
      <c r="F53" s="622" t="s">
        <v>107</v>
      </c>
      <c r="G53" s="623"/>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5"/>
      <c r="C54" s="325"/>
      <c r="D54" s="325"/>
      <c r="E54" s="210"/>
      <c r="F54" s="622" t="s">
        <v>112</v>
      </c>
      <c r="G54" s="623"/>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67" t="s">
        <v>64</v>
      </c>
      <c r="C55" s="867"/>
      <c r="D55" s="251" t="s">
        <v>101</v>
      </c>
      <c r="E55" s="210"/>
      <c r="F55" s="622" t="s">
        <v>116</v>
      </c>
      <c r="G55" s="623"/>
      <c r="H55" s="67">
        <v>-0.5</v>
      </c>
      <c r="I55" s="67">
        <v>-0.5</v>
      </c>
      <c r="J55" s="67">
        <v>-0.5</v>
      </c>
      <c r="K55" s="67">
        <v>-0.5</v>
      </c>
      <c r="L55" s="67">
        <v>-0.5</v>
      </c>
      <c r="M55" s="67">
        <v>-0.5</v>
      </c>
      <c r="N55" s="67">
        <v>-0.5</v>
      </c>
      <c r="O55" s="68">
        <v>-0.5</v>
      </c>
      <c r="P55" s="202"/>
      <c r="Q55" s="866" t="s">
        <v>103</v>
      </c>
      <c r="R55" s="845"/>
      <c r="S55" s="251" t="s">
        <v>62</v>
      </c>
      <c r="T55" s="251" t="s">
        <v>101</v>
      </c>
      <c r="U55" s="202"/>
    </row>
    <row r="56" spans="1:22" ht="15.75" customHeight="1" x14ac:dyDescent="0.25">
      <c r="A56" s="202"/>
      <c r="B56" s="662" t="s">
        <v>106</v>
      </c>
      <c r="C56" s="662"/>
      <c r="D56" s="69">
        <v>-0.25</v>
      </c>
      <c r="E56" s="212"/>
      <c r="F56" s="622" t="s">
        <v>121</v>
      </c>
      <c r="G56" s="623"/>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62" t="s">
        <v>111</v>
      </c>
      <c r="C57" s="662"/>
      <c r="D57" s="69">
        <v>-0.5</v>
      </c>
      <c r="E57" s="214"/>
      <c r="F57" s="622" t="s">
        <v>125</v>
      </c>
      <c r="G57" s="623"/>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41" t="s">
        <v>115</v>
      </c>
      <c r="C58" s="842"/>
      <c r="D58" s="842"/>
      <c r="E58" s="215"/>
      <c r="F58" s="622" t="s">
        <v>129</v>
      </c>
      <c r="G58" s="623"/>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67" t="s">
        <v>190</v>
      </c>
      <c r="C59" s="668"/>
      <c r="D59" s="668"/>
      <c r="E59" s="213"/>
      <c r="F59" s="622" t="s">
        <v>131</v>
      </c>
      <c r="G59" s="623"/>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67"/>
      <c r="C60" s="668"/>
      <c r="D60" s="668"/>
      <c r="E60" s="213"/>
      <c r="F60" s="622" t="s">
        <v>133</v>
      </c>
      <c r="G60" s="623"/>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67"/>
      <c r="C61" s="668"/>
      <c r="D61" s="668"/>
      <c r="E61" s="216"/>
      <c r="F61" s="622" t="s">
        <v>136</v>
      </c>
      <c r="G61" s="623"/>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67"/>
      <c r="C62" s="668"/>
      <c r="D62" s="668"/>
      <c r="E62" s="217"/>
      <c r="F62" s="622" t="s">
        <v>138</v>
      </c>
      <c r="G62" s="623"/>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67"/>
      <c r="C63" s="668"/>
      <c r="D63" s="668"/>
      <c r="E63" s="217"/>
      <c r="F63" s="622" t="s">
        <v>141</v>
      </c>
      <c r="G63" s="623"/>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67"/>
      <c r="C64" s="668"/>
      <c r="D64" s="668"/>
      <c r="E64" s="213"/>
      <c r="F64" s="833" t="s">
        <v>143</v>
      </c>
      <c r="G64" s="854"/>
      <c r="H64" s="854"/>
      <c r="I64" s="854"/>
      <c r="J64" s="854"/>
      <c r="K64" s="854"/>
      <c r="L64" s="854"/>
      <c r="M64" s="854"/>
      <c r="N64" s="854"/>
      <c r="O64" s="834"/>
      <c r="P64" s="208"/>
      <c r="Q64" s="70" t="s">
        <v>195</v>
      </c>
      <c r="R64" s="73">
        <v>100</v>
      </c>
      <c r="S64" s="37" t="s">
        <v>53</v>
      </c>
      <c r="T64" s="75">
        <v>0</v>
      </c>
      <c r="U64" s="202"/>
      <c r="V64" s="3"/>
    </row>
    <row r="65" spans="1:35" ht="15.75" customHeight="1" x14ac:dyDescent="0.25">
      <c r="A65" s="202"/>
      <c r="B65" s="667"/>
      <c r="C65" s="668"/>
      <c r="D65" s="668"/>
      <c r="E65" s="213"/>
      <c r="F65" s="622" t="s">
        <v>145</v>
      </c>
      <c r="G65" s="623"/>
      <c r="H65" s="18">
        <v>-0.25</v>
      </c>
      <c r="I65" s="18">
        <v>-0.25</v>
      </c>
      <c r="J65" s="18">
        <v>-0.25</v>
      </c>
      <c r="K65" s="18">
        <v>-0.375</v>
      </c>
      <c r="L65" s="18">
        <v>-0.5</v>
      </c>
      <c r="M65" s="18">
        <v>-0.5</v>
      </c>
      <c r="N65" s="18">
        <v>-0.5</v>
      </c>
      <c r="O65" s="19" t="s">
        <v>642</v>
      </c>
      <c r="P65" s="202"/>
      <c r="Q65" s="867" t="s">
        <v>134</v>
      </c>
      <c r="R65" s="867"/>
      <c r="S65" s="37" t="s">
        <v>140</v>
      </c>
      <c r="T65" s="75">
        <v>-0.5</v>
      </c>
      <c r="U65" s="202"/>
      <c r="V65" s="3"/>
    </row>
    <row r="66" spans="1:35" ht="15.75" customHeight="1" x14ac:dyDescent="0.25">
      <c r="A66" s="202"/>
      <c r="B66" s="667"/>
      <c r="C66" s="668"/>
      <c r="D66" s="668"/>
      <c r="E66" s="218"/>
      <c r="F66" s="622" t="s">
        <v>196</v>
      </c>
      <c r="G66" s="623"/>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67"/>
      <c r="C67" s="668"/>
      <c r="D67" s="668"/>
      <c r="E67" s="219"/>
      <c r="F67" s="622" t="s">
        <v>151</v>
      </c>
      <c r="G67" s="623"/>
      <c r="H67" s="18">
        <v>-0.25</v>
      </c>
      <c r="I67" s="18">
        <v>-0.25</v>
      </c>
      <c r="J67" s="18">
        <v>-0.25</v>
      </c>
      <c r="K67" s="18">
        <v>-0.25</v>
      </c>
      <c r="L67" s="18">
        <v>-0.25</v>
      </c>
      <c r="M67" s="18">
        <v>-0.5</v>
      </c>
      <c r="N67" s="18">
        <v>-0.5</v>
      </c>
      <c r="O67" s="19">
        <v>-0.5</v>
      </c>
      <c r="P67" s="202"/>
      <c r="Q67" s="866" t="s">
        <v>139</v>
      </c>
      <c r="R67" s="845"/>
      <c r="S67" s="37" t="s">
        <v>144</v>
      </c>
      <c r="T67" s="75">
        <v>-0.5</v>
      </c>
      <c r="U67" s="202"/>
      <c r="V67" s="3"/>
    </row>
    <row r="68" spans="1:35" x14ac:dyDescent="0.25">
      <c r="A68" s="202"/>
      <c r="B68" s="667"/>
      <c r="C68" s="668"/>
      <c r="D68" s="668"/>
      <c r="E68" s="213"/>
      <c r="F68" s="622" t="s">
        <v>157</v>
      </c>
      <c r="G68" s="623"/>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26" t="s">
        <v>153</v>
      </c>
      <c r="C69" s="827"/>
      <c r="D69" s="827"/>
      <c r="E69" s="218"/>
      <c r="F69" s="622" t="s">
        <v>160</v>
      </c>
      <c r="G69" s="623"/>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68" t="s">
        <v>156</v>
      </c>
      <c r="C70" s="869"/>
      <c r="D70" s="869"/>
      <c r="E70" s="220"/>
      <c r="F70" s="622" t="s">
        <v>69</v>
      </c>
      <c r="G70" s="623"/>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41" t="s">
        <v>159</v>
      </c>
      <c r="C71" s="842"/>
      <c r="D71" s="842"/>
      <c r="E71" s="221"/>
      <c r="F71" s="833" t="s">
        <v>33</v>
      </c>
      <c r="G71" s="854"/>
      <c r="H71" s="854"/>
      <c r="I71" s="854"/>
      <c r="J71" s="854"/>
      <c r="K71" s="854"/>
      <c r="L71" s="854"/>
      <c r="M71" s="854"/>
      <c r="N71" s="854"/>
      <c r="O71" s="834"/>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26" t="s">
        <v>162</v>
      </c>
      <c r="C72" s="666"/>
      <c r="D72" s="666"/>
      <c r="E72" s="221"/>
      <c r="F72" s="622" t="s">
        <v>34</v>
      </c>
      <c r="G72" s="623"/>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66"/>
      <c r="C73" s="666"/>
      <c r="D73" s="666"/>
      <c r="E73" s="221"/>
      <c r="F73" s="622" t="s">
        <v>166</v>
      </c>
      <c r="G73" s="623"/>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66"/>
      <c r="C74" s="666"/>
      <c r="D74" s="666"/>
      <c r="E74" s="221"/>
      <c r="F74" s="622" t="s">
        <v>168</v>
      </c>
      <c r="G74" s="623"/>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66"/>
      <c r="C75" s="666"/>
      <c r="D75" s="666"/>
      <c r="E75" s="221"/>
      <c r="F75" s="622" t="s">
        <v>169</v>
      </c>
      <c r="G75" s="623"/>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70"/>
      <c r="C76" s="870"/>
      <c r="D76" s="870"/>
      <c r="E76" s="221"/>
      <c r="F76" s="622" t="s">
        <v>170</v>
      </c>
      <c r="G76" s="623"/>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33" t="s">
        <v>36</v>
      </c>
      <c r="G77" s="854"/>
      <c r="H77" s="854"/>
      <c r="I77" s="854"/>
      <c r="J77" s="854"/>
      <c r="K77" s="854"/>
      <c r="L77" s="854"/>
      <c r="M77" s="854"/>
      <c r="N77" s="854"/>
      <c r="O77" s="834"/>
      <c r="P77" s="202"/>
      <c r="Q77" s="253"/>
      <c r="R77" s="253"/>
      <c r="S77" s="318"/>
      <c r="T77" s="319"/>
      <c r="U77" s="208"/>
      <c r="W77" s="3"/>
      <c r="X77" s="3"/>
      <c r="Y77" s="3"/>
      <c r="Z77" s="3"/>
      <c r="AA77" s="3"/>
      <c r="AB77" s="3"/>
      <c r="AC77" s="3"/>
      <c r="AD77" s="3"/>
      <c r="AE77" s="3"/>
      <c r="AF77" s="3"/>
      <c r="AG77" s="3"/>
      <c r="AH77" s="3"/>
      <c r="AI77" s="3"/>
    </row>
    <row r="78" spans="1:35" x14ac:dyDescent="0.25">
      <c r="A78" s="202"/>
      <c r="B78" s="253"/>
      <c r="C78" s="253"/>
      <c r="D78" s="253"/>
      <c r="E78" s="221"/>
      <c r="F78" s="622" t="s">
        <v>171</v>
      </c>
      <c r="G78" s="623"/>
      <c r="H78" s="18">
        <v>-2</v>
      </c>
      <c r="I78" s="18">
        <v>-2</v>
      </c>
      <c r="J78" s="18">
        <v>-2</v>
      </c>
      <c r="K78" s="18">
        <v>-2</v>
      </c>
      <c r="L78" s="18">
        <v>-2</v>
      </c>
      <c r="M78" s="18" t="s">
        <v>642</v>
      </c>
      <c r="N78" s="18" t="s">
        <v>642</v>
      </c>
      <c r="O78" s="19" t="s">
        <v>642</v>
      </c>
      <c r="P78" s="202"/>
      <c r="Q78" s="253"/>
      <c r="R78" s="253"/>
      <c r="S78" s="318"/>
      <c r="T78" s="319"/>
      <c r="U78" s="208"/>
      <c r="W78" s="3"/>
      <c r="X78" s="3"/>
      <c r="Y78" s="3"/>
      <c r="Z78" s="3"/>
      <c r="AA78" s="3"/>
      <c r="AB78" s="3"/>
      <c r="AC78" s="3"/>
      <c r="AD78" s="3"/>
      <c r="AE78" s="3"/>
      <c r="AF78" s="3"/>
      <c r="AG78" s="3"/>
      <c r="AH78" s="3"/>
      <c r="AI78" s="3"/>
    </row>
    <row r="79" spans="1:35" x14ac:dyDescent="0.25">
      <c r="A79" s="202"/>
      <c r="B79" s="253"/>
      <c r="C79" s="253"/>
      <c r="D79" s="253"/>
      <c r="E79" s="221"/>
      <c r="F79" s="622" t="s">
        <v>172</v>
      </c>
      <c r="G79" s="623"/>
      <c r="H79" s="18">
        <v>-1</v>
      </c>
      <c r="I79" s="18">
        <v>-1</v>
      </c>
      <c r="J79" s="18">
        <v>-1</v>
      </c>
      <c r="K79" s="18">
        <v>-1.25</v>
      </c>
      <c r="L79" s="18">
        <v>-1.25</v>
      </c>
      <c r="M79" s="18">
        <v>-1.25</v>
      </c>
      <c r="N79" s="18" t="s">
        <v>642</v>
      </c>
      <c r="O79" s="19" t="s">
        <v>642</v>
      </c>
      <c r="P79" s="202"/>
      <c r="Q79" s="253"/>
      <c r="R79" s="253"/>
      <c r="S79" s="318"/>
      <c r="T79" s="319"/>
      <c r="U79" s="208"/>
      <c r="W79" s="3"/>
      <c r="X79" s="3"/>
      <c r="Y79" s="3"/>
      <c r="Z79" s="3"/>
      <c r="AA79" s="3"/>
      <c r="AB79" s="3"/>
      <c r="AC79" s="3"/>
      <c r="AD79" s="3"/>
      <c r="AE79" s="3"/>
      <c r="AF79" s="3"/>
      <c r="AG79" s="3"/>
      <c r="AH79" s="3"/>
      <c r="AI79" s="3"/>
    </row>
    <row r="80" spans="1:35" ht="15" customHeight="1" x14ac:dyDescent="0.25">
      <c r="A80" s="202"/>
      <c r="B80" s="870"/>
      <c r="C80" s="870"/>
      <c r="D80" s="870"/>
      <c r="E80" s="221"/>
      <c r="F80" s="622" t="s">
        <v>173</v>
      </c>
      <c r="G80" s="623"/>
      <c r="H80" s="18">
        <v>-0.25</v>
      </c>
      <c r="I80" s="18">
        <v>-0.25</v>
      </c>
      <c r="J80" s="18">
        <v>-0.25</v>
      </c>
      <c r="K80" s="18">
        <v>-0.25</v>
      </c>
      <c r="L80" s="18">
        <v>-0.25</v>
      </c>
      <c r="M80" s="18">
        <v>-0.5</v>
      </c>
      <c r="N80" s="18">
        <v>-0.5</v>
      </c>
      <c r="O80" s="19">
        <v>-0.5</v>
      </c>
      <c r="P80" s="202"/>
      <c r="Q80" s="253"/>
      <c r="R80" s="253"/>
      <c r="S80" s="318"/>
      <c r="T80" s="319"/>
      <c r="U80" s="202"/>
    </row>
    <row r="81" spans="1:21" ht="15" customHeight="1" thickBot="1" x14ac:dyDescent="0.3">
      <c r="A81" s="202"/>
      <c r="B81" s="321"/>
      <c r="C81" s="322"/>
      <c r="D81" s="323"/>
      <c r="E81" s="221"/>
      <c r="F81" s="622" t="s">
        <v>174</v>
      </c>
      <c r="G81" s="623"/>
      <c r="H81" s="83">
        <v>0</v>
      </c>
      <c r="I81" s="83">
        <v>0</v>
      </c>
      <c r="J81" s="83">
        <v>0</v>
      </c>
      <c r="K81" s="83">
        <v>0</v>
      </c>
      <c r="L81" s="83">
        <v>0</v>
      </c>
      <c r="M81" s="83">
        <v>0</v>
      </c>
      <c r="N81" s="83">
        <v>0</v>
      </c>
      <c r="O81" s="84">
        <v>0</v>
      </c>
      <c r="P81" s="202"/>
      <c r="Q81" s="316"/>
      <c r="R81" s="317"/>
      <c r="S81" s="317"/>
      <c r="T81" s="320"/>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65"/>
      <c r="C87" s="665"/>
      <c r="D87" s="54"/>
      <c r="E87" s="54"/>
      <c r="F87" s="86"/>
      <c r="G87" s="86"/>
      <c r="H87" s="88"/>
      <c r="I87" s="88"/>
      <c r="J87" s="88"/>
      <c r="K87" s="88"/>
      <c r="L87" s="88"/>
      <c r="M87" s="88"/>
      <c r="N87" s="88"/>
      <c r="O87" s="88"/>
      <c r="Q87" s="3"/>
      <c r="R87" s="3"/>
    </row>
    <row r="88" spans="1:21" ht="15" customHeight="1" x14ac:dyDescent="0.25">
      <c r="B88" s="665"/>
      <c r="C88" s="665"/>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18" priority="11" operator="containsText" text="n/a">
      <formula>NOT(ISERROR(SEARCH("n/a",B51)))</formula>
    </cfRule>
  </conditionalFormatting>
  <conditionalFormatting sqref="B55 D55">
    <cfRule type="containsText" dxfId="217" priority="18" operator="containsText" text="n/a">
      <formula>NOT(ISERROR(SEARCH("n/a",B55)))</formula>
    </cfRule>
  </conditionalFormatting>
  <conditionalFormatting sqref="B58">
    <cfRule type="containsText" dxfId="216" priority="19" operator="containsText" text="n/a">
      <formula>NOT(ISERROR(SEARCH("n/a",B58)))</formula>
    </cfRule>
  </conditionalFormatting>
  <conditionalFormatting sqref="B69">
    <cfRule type="containsText" dxfId="215" priority="13" operator="containsText" text="n/a">
      <formula>NOT(ISERROR(SEARCH("n/a",B69)))</formula>
    </cfRule>
  </conditionalFormatting>
  <conditionalFormatting sqref="B71">
    <cfRule type="containsText" dxfId="214" priority="5" operator="containsText" text="n/a">
      <formula>NOT(ISERROR(SEARCH("n/a",B71)))</formula>
    </cfRule>
  </conditionalFormatting>
  <conditionalFormatting sqref="B53:D53">
    <cfRule type="containsText" dxfId="213" priority="8" operator="containsText" text="n/a">
      <formula>NOT(ISERROR(SEARCH("n/a",B53)))</formula>
    </cfRule>
  </conditionalFormatting>
  <conditionalFormatting sqref="B8:O8 B10:D10">
    <cfRule type="containsText" dxfId="212" priority="41" operator="containsText" text="n/a">
      <formula>NOT(ISERROR(SEARCH("n/a",B8)))</formula>
    </cfRule>
  </conditionalFormatting>
  <conditionalFormatting sqref="C14:C50">
    <cfRule type="containsErrors" dxfId="211" priority="37">
      <formula>ISERROR(C14)</formula>
    </cfRule>
  </conditionalFormatting>
  <conditionalFormatting sqref="C14:C52">
    <cfRule type="containsText" dxfId="210" priority="10" operator="containsText" text="n/a">
      <formula>NOT(ISERROR(SEARCH("n/a",C14)))</formula>
    </cfRule>
  </conditionalFormatting>
  <conditionalFormatting sqref="D21:D50">
    <cfRule type="containsErrors" dxfId="209" priority="36">
      <formula>ISERROR(D21)</formula>
    </cfRule>
  </conditionalFormatting>
  <conditionalFormatting sqref="D21:D52">
    <cfRule type="containsText" dxfId="208" priority="9" operator="containsText" text="n/a">
      <formula>NOT(ISERROR(SEARCH("n/a",D21)))</formula>
    </cfRule>
  </conditionalFormatting>
  <conditionalFormatting sqref="E10:E50">
    <cfRule type="containsErrors" dxfId="207" priority="45">
      <formula>ISERROR(E10)</formula>
    </cfRule>
  </conditionalFormatting>
  <conditionalFormatting sqref="F9:F10">
    <cfRule type="containsText" dxfId="206" priority="42" operator="containsText" text="n/a">
      <formula>NOT(ISERROR(SEARCH("n/a",F9)))</formula>
    </cfRule>
  </conditionalFormatting>
  <conditionalFormatting sqref="F20:F22">
    <cfRule type="containsText" dxfId="205" priority="21" operator="containsText" text="n/a">
      <formula>NOT(ISERROR(SEARCH("n/a",F20)))</formula>
    </cfRule>
  </conditionalFormatting>
  <conditionalFormatting sqref="F29">
    <cfRule type="containsText" dxfId="204" priority="6" operator="containsText" text="n/a">
      <formula>NOT(ISERROR(SEARCH("n/a",F29)))</formula>
    </cfRule>
  </conditionalFormatting>
  <conditionalFormatting sqref="F35">
    <cfRule type="containsText" dxfId="203" priority="29" operator="containsText" text="n/a">
      <formula>NOT(ISERROR(SEARCH("n/a",F35)))</formula>
    </cfRule>
  </conditionalFormatting>
  <conditionalFormatting sqref="F45">
    <cfRule type="containsText" dxfId="202" priority="28" operator="containsText" text="n/a">
      <formula>NOT(ISERROR(SEARCH("n/a",F45)))</formula>
    </cfRule>
  </conditionalFormatting>
  <conditionalFormatting sqref="F51">
    <cfRule type="containsText" dxfId="201" priority="27" operator="containsText" text="n/a">
      <formula>NOT(ISERROR(SEARCH("n/a",F51)))</formula>
    </cfRule>
  </conditionalFormatting>
  <conditionalFormatting sqref="F64">
    <cfRule type="containsText" dxfId="200" priority="26" operator="containsText" text="n/a">
      <formula>NOT(ISERROR(SEARCH("n/a",F64)))</formula>
    </cfRule>
  </conditionalFormatting>
  <conditionalFormatting sqref="F71">
    <cfRule type="containsText" dxfId="199" priority="25" operator="containsText" text="n/a">
      <formula>NOT(ISERROR(SEARCH("n/a",F71)))</formula>
    </cfRule>
  </conditionalFormatting>
  <conditionalFormatting sqref="F77">
    <cfRule type="containsText" dxfId="198" priority="24" operator="containsText" text="n/a">
      <formula>NOT(ISERROR(SEARCH("n/a",F77)))</formula>
    </cfRule>
  </conditionalFormatting>
  <conditionalFormatting sqref="H10:O10">
    <cfRule type="containsText" dxfId="197" priority="40" operator="containsText" text="n/a">
      <formula>NOT(ISERROR(SEARCH("n/a",H10)))</formula>
    </cfRule>
  </conditionalFormatting>
  <conditionalFormatting sqref="H20:O20">
    <cfRule type="containsText" dxfId="196" priority="22" operator="containsText" text="n/a">
      <formula>NOT(ISERROR(SEARCH("n/a",H20)))</formula>
    </cfRule>
  </conditionalFormatting>
  <conditionalFormatting sqref="N11:N16 M11:M18 H11:L19">
    <cfRule type="containsText" dxfId="195" priority="44" operator="containsText" text="n/a">
      <formula>NOT(ISERROR(SEARCH("n/a",H11)))</formula>
    </cfRule>
    <cfRule type="containsErrors" dxfId="194" priority="49">
      <formula>ISERROR(H11)</formula>
    </cfRule>
  </conditionalFormatting>
  <conditionalFormatting sqref="O11:O14">
    <cfRule type="containsText" dxfId="193" priority="38" operator="containsText" text="n/a">
      <formula>NOT(ISERROR(SEARCH("n/a",O11)))</formula>
    </cfRule>
    <cfRule type="containsErrors" dxfId="192" priority="39">
      <formula>ISERROR(O11)</formula>
    </cfRule>
  </conditionalFormatting>
  <conditionalFormatting sqref="Q36:Q39">
    <cfRule type="containsText" dxfId="191" priority="30" operator="containsText" text="Rate">
      <formula>NOT(ISERROR(SEARCH("Rate",Q36)))</formula>
    </cfRule>
    <cfRule type="expression" dxfId="190" priority="31">
      <formula>Output_NetPrice_JM &lt; 99</formula>
    </cfRule>
    <cfRule type="expression" dxfId="189" priority="32">
      <formula>Output_NetPrice_ExpNR &lt; 99</formula>
    </cfRule>
  </conditionalFormatting>
  <conditionalFormatting sqref="Q55">
    <cfRule type="containsText" dxfId="188" priority="23" operator="containsText" text="n/a">
      <formula>NOT(ISERROR(SEARCH("n/a",Q55)))</formula>
    </cfRule>
  </conditionalFormatting>
  <conditionalFormatting sqref="Q65">
    <cfRule type="containsText" dxfId="187" priority="12" operator="containsText" text="n/a">
      <formula>NOT(ISERROR(SEARCH("n/a",Q65)))</formula>
    </cfRule>
  </conditionalFormatting>
  <conditionalFormatting sqref="Q67">
    <cfRule type="containsText" dxfId="186" priority="15" operator="containsText" text="n/a">
      <formula>NOT(ISERROR(SEARCH("n/a",Q67)))</formula>
    </cfRule>
  </conditionalFormatting>
  <conditionalFormatting sqref="Q8:T8">
    <cfRule type="containsText" dxfId="185" priority="43" operator="containsText" text="n/a">
      <formula>NOT(ISERROR(SEARCH("n/a",Q8)))</formula>
    </cfRule>
  </conditionalFormatting>
  <conditionalFormatting sqref="Q51:T54">
    <cfRule type="containsText" dxfId="184" priority="7" operator="containsText" text="n/a">
      <formula>NOT(ISERROR(SEARCH("n/a",Q51)))</formula>
    </cfRule>
  </conditionalFormatting>
  <conditionalFormatting sqref="S55:T55">
    <cfRule type="containsText" dxfId="183" priority="14" operator="containsText" text="n/a">
      <formula>NOT(ISERROR(SEARCH("n/a",S55)))</formula>
    </cfRule>
  </conditionalFormatting>
  <conditionalFormatting sqref="S62:T62">
    <cfRule type="containsText" dxfId="182" priority="4" operator="containsText" text="n/a">
      <formula>NOT(ISERROR(SEARCH("n/a",S62)))</formula>
    </cfRule>
  </conditionalFormatting>
  <conditionalFormatting sqref="S70:T70">
    <cfRule type="containsText" dxfId="181" priority="16" operator="containsText" text="n/a">
      <formula>NOT(ISERROR(SEARCH("n/a",S70)))</formula>
    </cfRule>
  </conditionalFormatting>
  <conditionalFormatting sqref="S72:T72">
    <cfRule type="containsText" dxfId="180" priority="20" operator="containsText" text="n/a">
      <formula>NOT(ISERROR(SEARCH("n/a",S72)))</formula>
    </cfRule>
  </conditionalFormatting>
  <conditionalFormatting sqref="S74:T74">
    <cfRule type="containsText" dxfId="179" priority="17" operator="containsText" text="n/a">
      <formula>NOT(ISERROR(SEARCH("n/a",S74)))</formula>
    </cfRule>
  </conditionalFormatting>
  <conditionalFormatting sqref="T36:T39">
    <cfRule type="containsText" dxfId="178" priority="33" operator="containsText" text="Rate">
      <formula>NOT(ISERROR(SEARCH("Rate",T36)))</formula>
    </cfRule>
    <cfRule type="expression" dxfId="177" priority="34">
      <formula>Output_NetPrice_JM &lt; 99</formula>
    </cfRule>
    <cfRule type="expression" dxfId="176" priority="35">
      <formula>Output_NetPrice_ExpNR &lt; 99</formula>
    </cfRule>
  </conditionalFormatting>
  <conditionalFormatting sqref="S10">
    <cfRule type="containsText" dxfId="175" priority="1" operator="containsText" text="Rate">
      <formula>NOT(ISERROR(SEARCH("Rate",S10)))</formula>
    </cfRule>
    <cfRule type="expression" dxfId="174" priority="2">
      <formula>Output_NetPrice_JM &lt; 99</formula>
    </cfRule>
    <cfRule type="expression" dxfId="173"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57031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35.1" customHeight="1" x14ac:dyDescent="0.25">
      <c r="B1" s="952" t="s">
        <v>937</v>
      </c>
      <c r="C1" s="953"/>
      <c r="D1" s="953"/>
      <c r="E1" s="953"/>
      <c r="G1"/>
      <c r="N1" s="658" t="s">
        <v>647</v>
      </c>
      <c r="O1" s="658"/>
      <c r="P1" s="658"/>
      <c r="Q1" s="2"/>
      <c r="R1" s="659"/>
      <c r="S1" s="659"/>
      <c r="T1" s="2"/>
      <c r="U1" s="2"/>
      <c r="V1" s="3"/>
    </row>
    <row r="2" spans="1:25" ht="17.45" customHeight="1" x14ac:dyDescent="0.25">
      <c r="B2" s="490" t="s">
        <v>822</v>
      </c>
      <c r="C2" s="656" t="s">
        <v>938</v>
      </c>
      <c r="D2" s="656"/>
      <c r="E2" s="657"/>
      <c r="N2" s="660" t="s">
        <v>1</v>
      </c>
      <c r="O2" s="660"/>
      <c r="P2" s="660"/>
      <c r="Q2" s="4"/>
      <c r="R2" s="661"/>
      <c r="S2" s="661"/>
      <c r="T2" s="2"/>
      <c r="U2" s="2"/>
      <c r="V2" s="3"/>
    </row>
    <row r="3" spans="1:25" ht="17.45" customHeight="1" x14ac:dyDescent="0.25">
      <c r="B3" s="490" t="s">
        <v>939</v>
      </c>
      <c r="C3" s="656" t="s">
        <v>940</v>
      </c>
      <c r="D3" s="656"/>
      <c r="E3" s="657"/>
      <c r="N3" s="660" t="s">
        <v>2</v>
      </c>
      <c r="O3" s="660"/>
      <c r="P3" s="660"/>
      <c r="Q3" s="4"/>
      <c r="R3" s="661"/>
      <c r="S3" s="661"/>
      <c r="T3" s="4"/>
      <c r="U3" s="4"/>
    </row>
    <row r="4" spans="1:25" ht="17.45" customHeight="1" x14ac:dyDescent="0.25">
      <c r="B4" s="490" t="s">
        <v>822</v>
      </c>
      <c r="C4" s="656" t="s">
        <v>941</v>
      </c>
      <c r="D4" s="656"/>
      <c r="E4" s="657"/>
      <c r="F4" s="5"/>
      <c r="M4" s="6"/>
      <c r="N4" s="7"/>
      <c r="O4" s="7"/>
      <c r="P4" s="7"/>
      <c r="Q4" s="8"/>
      <c r="R4" s="4"/>
      <c r="S4" s="4"/>
      <c r="T4" s="4"/>
      <c r="U4" s="4"/>
    </row>
    <row r="5" spans="1:25" ht="17.45" customHeight="1" thickBot="1" x14ac:dyDescent="0.3">
      <c r="B5" s="494" t="s">
        <v>828</v>
      </c>
      <c r="C5" s="494">
        <f ca="1">NOW()</f>
        <v>46310.348305902779</v>
      </c>
      <c r="L5" s="9"/>
      <c r="M5" s="654" t="s">
        <v>3</v>
      </c>
      <c r="N5" s="654"/>
      <c r="O5" s="655">
        <v>46310.375</v>
      </c>
      <c r="P5" s="655"/>
      <c r="Q5" s="8"/>
      <c r="T5" s="3"/>
      <c r="U5" s="3"/>
    </row>
    <row r="6" spans="1:25" ht="17.45" customHeight="1" x14ac:dyDescent="0.25">
      <c r="A6" s="291"/>
      <c r="B6" s="894" t="s">
        <v>4</v>
      </c>
      <c r="C6" s="895"/>
      <c r="D6" s="895"/>
      <c r="E6" s="294"/>
      <c r="F6" s="932" t="s">
        <v>648</v>
      </c>
      <c r="G6" s="933"/>
      <c r="H6" s="933"/>
      <c r="I6" s="933"/>
      <c r="J6" s="933"/>
      <c r="K6" s="933"/>
      <c r="L6" s="933"/>
      <c r="M6" s="933"/>
      <c r="N6" s="933"/>
      <c r="O6" s="933"/>
      <c r="P6" s="934"/>
      <c r="Q6" s="293"/>
      <c r="R6" s="292"/>
      <c r="S6" s="932" t="s">
        <v>5</v>
      </c>
      <c r="T6" s="933"/>
      <c r="U6" s="933"/>
      <c r="V6" s="934"/>
      <c r="W6" s="292"/>
    </row>
    <row r="7" spans="1:25" ht="17.45" customHeight="1" x14ac:dyDescent="0.25">
      <c r="A7" s="291"/>
      <c r="B7" s="894"/>
      <c r="C7" s="895"/>
      <c r="D7" s="895"/>
      <c r="E7" s="294"/>
      <c r="F7" s="935"/>
      <c r="G7" s="936"/>
      <c r="H7" s="936"/>
      <c r="I7" s="936"/>
      <c r="J7" s="936"/>
      <c r="K7" s="936"/>
      <c r="L7" s="936"/>
      <c r="M7" s="936"/>
      <c r="N7" s="936"/>
      <c r="O7" s="936"/>
      <c r="P7" s="937"/>
      <c r="Q7" s="293"/>
      <c r="R7" s="292"/>
      <c r="S7" s="938"/>
      <c r="T7" s="939"/>
      <c r="U7" s="939"/>
      <c r="V7" s="940"/>
      <c r="W7" s="292"/>
    </row>
    <row r="8" spans="1:25" ht="15.75" customHeight="1" x14ac:dyDescent="0.25">
      <c r="A8" s="291"/>
      <c r="B8" s="896"/>
      <c r="C8" s="897"/>
      <c r="D8" s="897"/>
      <c r="E8" s="292"/>
      <c r="F8" s="266"/>
      <c r="G8" s="268"/>
      <c r="H8" s="268"/>
      <c r="I8" s="268"/>
      <c r="J8" s="268"/>
      <c r="K8" s="268"/>
      <c r="L8" s="268"/>
      <c r="M8" s="268"/>
      <c r="N8" s="268"/>
      <c r="O8" s="268"/>
      <c r="P8" s="267"/>
      <c r="Q8" s="292"/>
      <c r="R8" s="292"/>
      <c r="S8" s="266"/>
      <c r="T8" s="268"/>
      <c r="U8" s="268"/>
      <c r="V8" s="267"/>
      <c r="W8" s="291"/>
    </row>
    <row r="9" spans="1:25" ht="15.75" x14ac:dyDescent="0.25">
      <c r="A9" s="291"/>
      <c r="B9" s="898" t="s">
        <v>6</v>
      </c>
      <c r="C9" s="899"/>
      <c r="D9" s="899"/>
      <c r="E9" s="292"/>
      <c r="F9" s="941" t="s">
        <v>7</v>
      </c>
      <c r="G9" s="942"/>
      <c r="H9" s="942"/>
      <c r="I9" s="942"/>
      <c r="J9" s="942"/>
      <c r="K9" s="942"/>
      <c r="L9" s="942"/>
      <c r="M9" s="942"/>
      <c r="N9" s="942"/>
      <c r="O9" s="942"/>
      <c r="P9" s="943"/>
      <c r="Q9" s="299"/>
      <c r="R9" s="292"/>
      <c r="S9" s="269"/>
      <c r="T9" s="270"/>
      <c r="U9" s="611" t="s">
        <v>8</v>
      </c>
      <c r="V9" s="271"/>
      <c r="W9" s="292"/>
    </row>
    <row r="10" spans="1:25" ht="15.75" customHeight="1" x14ac:dyDescent="0.25">
      <c r="A10" s="291"/>
      <c r="B10" s="272" t="s">
        <v>9</v>
      </c>
      <c r="C10" s="274" t="s">
        <v>209</v>
      </c>
      <c r="D10" s="274" t="s">
        <v>220</v>
      </c>
      <c r="E10" s="292"/>
      <c r="F10" s="926" t="s">
        <v>11</v>
      </c>
      <c r="G10" s="927"/>
      <c r="H10" s="275" t="s">
        <v>12</v>
      </c>
      <c r="I10" s="275" t="s">
        <v>13</v>
      </c>
      <c r="J10" s="275" t="s">
        <v>14</v>
      </c>
      <c r="K10" s="275" t="s">
        <v>15</v>
      </c>
      <c r="L10" s="275" t="s">
        <v>16</v>
      </c>
      <c r="M10" s="275" t="s">
        <v>17</v>
      </c>
      <c r="N10" s="275" t="s">
        <v>18</v>
      </c>
      <c r="O10" s="275" t="s">
        <v>19</v>
      </c>
      <c r="P10" s="274" t="s">
        <v>20</v>
      </c>
      <c r="Q10" s="300"/>
      <c r="R10" s="292"/>
      <c r="S10" s="928" t="s">
        <v>21</v>
      </c>
      <c r="T10" s="929"/>
      <c r="U10" s="13" t="s">
        <v>31</v>
      </c>
      <c r="V10" s="279"/>
      <c r="W10" s="292"/>
    </row>
    <row r="11" spans="1:25" ht="14.25" customHeight="1" x14ac:dyDescent="0.25">
      <c r="A11" s="291"/>
      <c r="B11" s="273">
        <v>6.375</v>
      </c>
      <c r="C11" s="338">
        <v>96.225500000000011</v>
      </c>
      <c r="D11" s="338">
        <v>95.925500000000014</v>
      </c>
      <c r="E11" s="292"/>
      <c r="F11" s="930" t="s">
        <v>22</v>
      </c>
      <c r="G11" s="931">
        <v>0</v>
      </c>
      <c r="H11" s="14">
        <v>0.625</v>
      </c>
      <c r="I11" s="14">
        <v>0.375</v>
      </c>
      <c r="J11" s="14">
        <v>0.375</v>
      </c>
      <c r="K11" s="14">
        <v>0.375</v>
      </c>
      <c r="L11" s="14">
        <v>0.25</v>
      </c>
      <c r="M11" s="14">
        <v>0.22500000000000001</v>
      </c>
      <c r="N11" s="14">
        <v>-0.375</v>
      </c>
      <c r="O11" s="14">
        <v>-1.375</v>
      </c>
      <c r="P11" s="15">
        <v>-3.0249999999999999</v>
      </c>
      <c r="Q11" s="301"/>
      <c r="R11" s="292"/>
      <c r="S11" s="883" t="s">
        <v>23</v>
      </c>
      <c r="T11" s="884"/>
      <c r="U11" s="16" t="s">
        <v>31</v>
      </c>
      <c r="V11" s="279"/>
      <c r="W11" s="292"/>
      <c r="X11" s="17"/>
      <c r="Y11" s="17"/>
    </row>
    <row r="12" spans="1:25" x14ac:dyDescent="0.25">
      <c r="A12" s="291"/>
      <c r="B12" s="273">
        <v>6.4989999999999997</v>
      </c>
      <c r="C12" s="338">
        <v>96.725500000000011</v>
      </c>
      <c r="D12" s="338">
        <v>96.425500000000014</v>
      </c>
      <c r="E12" s="292"/>
      <c r="F12" s="881" t="s">
        <v>24</v>
      </c>
      <c r="G12" s="882">
        <v>0</v>
      </c>
      <c r="H12" s="18">
        <v>0.4</v>
      </c>
      <c r="I12" s="18">
        <v>0.33800000000000002</v>
      </c>
      <c r="J12" s="14">
        <v>0.34300000000000003</v>
      </c>
      <c r="K12" s="18">
        <v>0.25</v>
      </c>
      <c r="L12" s="18">
        <v>0.125</v>
      </c>
      <c r="M12" s="18">
        <v>0.125</v>
      </c>
      <c r="N12" s="18">
        <v>-0.5</v>
      </c>
      <c r="O12" s="18">
        <v>-1.875</v>
      </c>
      <c r="P12" s="19">
        <v>-3.2749999999999999</v>
      </c>
      <c r="Q12" s="301"/>
      <c r="R12" s="292"/>
      <c r="S12" s="883" t="s">
        <v>25</v>
      </c>
      <c r="T12" s="884"/>
      <c r="U12" s="16" t="s">
        <v>31</v>
      </c>
      <c r="V12" s="279" t="b">
        <f>IF(ISNUMBER(MATCH($U$11,'Feed(WS)'!$B$3:$B$11,0)),
   INDEX($H$11:$P$20,MATCH($U$12,$F$11:$F$20,0),MATCH($U$11,$H$10:$P$10,0)))</f>
        <v>0</v>
      </c>
      <c r="W12" s="292"/>
      <c r="X12" s="17"/>
      <c r="Y12" s="17"/>
    </row>
    <row r="13" spans="1:25" ht="15.75" customHeight="1" x14ac:dyDescent="0.25">
      <c r="A13" s="291"/>
      <c r="B13" s="273">
        <v>6.625</v>
      </c>
      <c r="C13" s="338">
        <v>97.225500000000011</v>
      </c>
      <c r="D13" s="338">
        <v>96.925500000000014</v>
      </c>
      <c r="E13" s="292"/>
      <c r="F13" s="881" t="s">
        <v>26</v>
      </c>
      <c r="G13" s="882">
        <v>0</v>
      </c>
      <c r="H13" s="18">
        <v>0.33800000000000002</v>
      </c>
      <c r="I13" s="18">
        <v>0.25</v>
      </c>
      <c r="J13" s="14">
        <v>0.25</v>
      </c>
      <c r="K13" s="18">
        <v>0.125</v>
      </c>
      <c r="L13" s="18">
        <v>0.125</v>
      </c>
      <c r="M13" s="18">
        <v>-0.375</v>
      </c>
      <c r="N13" s="18">
        <v>-0.75</v>
      </c>
      <c r="O13" s="18">
        <v>-2.125</v>
      </c>
      <c r="P13" s="19">
        <v>-3.5250000000000004</v>
      </c>
      <c r="Q13" s="301"/>
      <c r="R13" s="292"/>
      <c r="S13" s="883" t="s">
        <v>27</v>
      </c>
      <c r="T13" s="884"/>
      <c r="U13" s="16" t="s">
        <v>28</v>
      </c>
      <c r="V13" s="279" t="e">
        <f>IF(OR($U$11="", $U$13=""), "",
   INDEX($H$23:$P$24,
         MATCH($U$13,$F$23:$F$24,0),
         MATCH($U$11,$H$10:$P$10,0)))</f>
        <v>#N/A</v>
      </c>
      <c r="W13" s="292"/>
      <c r="X13" s="17"/>
      <c r="Y13" s="17"/>
    </row>
    <row r="14" spans="1:25" ht="15.75" customHeight="1" x14ac:dyDescent="0.25">
      <c r="A14" s="291"/>
      <c r="B14" s="273">
        <v>6.75</v>
      </c>
      <c r="C14" s="338">
        <v>97.725500000000011</v>
      </c>
      <c r="D14" s="338">
        <v>97.425500000000014</v>
      </c>
      <c r="E14" s="292"/>
      <c r="F14" s="881" t="s">
        <v>29</v>
      </c>
      <c r="G14" s="882">
        <v>0</v>
      </c>
      <c r="H14" s="18">
        <v>0.25</v>
      </c>
      <c r="I14" s="18">
        <v>0.125</v>
      </c>
      <c r="J14" s="14">
        <v>0.125</v>
      </c>
      <c r="K14" s="18">
        <v>0.125</v>
      </c>
      <c r="L14" s="18">
        <v>-0.25</v>
      </c>
      <c r="M14" s="18">
        <v>-0.6</v>
      </c>
      <c r="N14" s="18">
        <v>-1.0249999999999999</v>
      </c>
      <c r="O14" s="18">
        <v>-2.875</v>
      </c>
      <c r="P14" s="19">
        <v>-4.0250000000000004</v>
      </c>
      <c r="Q14" s="301"/>
      <c r="R14" s="292"/>
      <c r="S14" s="883" t="s">
        <v>30</v>
      </c>
      <c r="T14" s="884"/>
      <c r="U14" s="16" t="s">
        <v>31</v>
      </c>
      <c r="V14" s="279">
        <f>'Feed(WS)'!$O$168</f>
        <v>0</v>
      </c>
      <c r="W14" s="292"/>
      <c r="X14" s="17"/>
      <c r="Y14" s="17"/>
    </row>
    <row r="15" spans="1:25" x14ac:dyDescent="0.25">
      <c r="A15" s="291"/>
      <c r="B15" s="273">
        <v>6.875</v>
      </c>
      <c r="C15" s="338">
        <v>98.163000000000011</v>
      </c>
      <c r="D15" s="338">
        <v>97.863000000000014</v>
      </c>
      <c r="E15" s="292"/>
      <c r="F15" s="881" t="s">
        <v>32</v>
      </c>
      <c r="G15" s="882">
        <v>0</v>
      </c>
      <c r="H15" s="18">
        <v>0.125</v>
      </c>
      <c r="I15" s="18">
        <v>-0.125</v>
      </c>
      <c r="J15" s="14">
        <v>-0.125</v>
      </c>
      <c r="K15" s="18">
        <v>-0.5</v>
      </c>
      <c r="L15" s="18">
        <v>-0.625</v>
      </c>
      <c r="M15" s="18">
        <v>-1.125</v>
      </c>
      <c r="N15" s="18">
        <v>-1.9</v>
      </c>
      <c r="O15" s="18">
        <v>-3.625</v>
      </c>
      <c r="P15" s="19">
        <v>-4.7750000000000004</v>
      </c>
      <c r="Q15" s="301"/>
      <c r="R15" s="292"/>
      <c r="S15" s="883" t="s">
        <v>33</v>
      </c>
      <c r="T15" s="884"/>
      <c r="U15" s="16" t="s">
        <v>34</v>
      </c>
      <c r="V15" s="279" t="e">
        <f>IF(OR($U$11="", $U$15=""), "",
   INDEX($H$78:$P$82,
         MATCH($U$15,$F$78:$F$82,0),
         MATCH($U$11,$H$10:$P$10,0)))</f>
        <v>#N/A</v>
      </c>
      <c r="W15" s="292"/>
      <c r="X15" s="17"/>
      <c r="Y15" s="17"/>
    </row>
    <row r="16" spans="1:25" ht="14.25" customHeight="1" x14ac:dyDescent="0.25">
      <c r="A16" s="291"/>
      <c r="B16" s="273">
        <v>6.9989999999999997</v>
      </c>
      <c r="C16" s="338">
        <v>98.600500000000011</v>
      </c>
      <c r="D16" s="338">
        <v>98.300500000000014</v>
      </c>
      <c r="E16" s="292"/>
      <c r="F16" s="881" t="s">
        <v>35</v>
      </c>
      <c r="G16" s="882">
        <v>0</v>
      </c>
      <c r="H16" s="18">
        <v>-0.125</v>
      </c>
      <c r="I16" s="18">
        <v>-0.25</v>
      </c>
      <c r="J16" s="14">
        <v>-0.35</v>
      </c>
      <c r="K16" s="18">
        <v>-0.625</v>
      </c>
      <c r="L16" s="18">
        <v>-1.125</v>
      </c>
      <c r="M16" s="18">
        <v>-1.75</v>
      </c>
      <c r="N16" s="18">
        <v>-2.9249999999999998</v>
      </c>
      <c r="O16" s="18">
        <v>-4.625</v>
      </c>
      <c r="P16" s="278" t="e">
        <v>#N/A</v>
      </c>
      <c r="Q16" s="301"/>
      <c r="R16" s="292"/>
      <c r="S16" s="883" t="s">
        <v>36</v>
      </c>
      <c r="T16" s="884"/>
      <c r="U16" s="16" t="s">
        <v>37</v>
      </c>
      <c r="V16" s="279">
        <f>IF(OR($U$11="", $U$16="", $U$16="NONE"),0,
   INDEX($H$84:$P$87,
         MATCH($U$16,$F$84:$F$87,0),
         MATCH($U$11,$H$10:$P$10,0)))</f>
        <v>0</v>
      </c>
      <c r="W16" s="292"/>
      <c r="X16" s="17"/>
      <c r="Y16" s="17"/>
    </row>
    <row r="17" spans="1:25" x14ac:dyDescent="0.25">
      <c r="A17" s="291"/>
      <c r="B17" s="273">
        <v>7.125</v>
      </c>
      <c r="C17" s="338">
        <v>99.038000000000011</v>
      </c>
      <c r="D17" s="338">
        <v>98.738000000000014</v>
      </c>
      <c r="E17" s="292"/>
      <c r="F17" s="881" t="s">
        <v>38</v>
      </c>
      <c r="G17" s="882">
        <v>0</v>
      </c>
      <c r="H17" s="18">
        <v>-0.625</v>
      </c>
      <c r="I17" s="18">
        <v>-0.625</v>
      </c>
      <c r="J17" s="14">
        <v>-0.5</v>
      </c>
      <c r="K17" s="18">
        <v>-0.875</v>
      </c>
      <c r="L17" s="18">
        <v>-1.375</v>
      </c>
      <c r="M17" s="18">
        <v>-2.7250000000000001</v>
      </c>
      <c r="N17" s="18">
        <v>-3.875</v>
      </c>
      <c r="O17" s="277" t="e">
        <v>#N/A</v>
      </c>
      <c r="P17" s="278" t="e">
        <v>#N/A</v>
      </c>
      <c r="Q17" s="301"/>
      <c r="R17" s="292"/>
      <c r="S17" s="883" t="s">
        <v>39</v>
      </c>
      <c r="T17" s="884"/>
      <c r="U17" s="16" t="s">
        <v>31</v>
      </c>
      <c r="V17" s="279">
        <v>0</v>
      </c>
      <c r="W17" s="292"/>
      <c r="X17" s="17"/>
      <c r="Y17" s="17"/>
    </row>
    <row r="18" spans="1:25" x14ac:dyDescent="0.25">
      <c r="A18" s="291"/>
      <c r="B18" s="273">
        <v>7.25</v>
      </c>
      <c r="C18" s="338">
        <v>99.444250000000011</v>
      </c>
      <c r="D18" s="338">
        <v>99.144250000000014</v>
      </c>
      <c r="E18" s="292"/>
      <c r="F18" s="881" t="s">
        <v>40</v>
      </c>
      <c r="G18" s="882">
        <v>0</v>
      </c>
      <c r="H18" s="18">
        <v>-1.375</v>
      </c>
      <c r="I18" s="18">
        <v>-1.5</v>
      </c>
      <c r="J18" s="14">
        <v>-1.75</v>
      </c>
      <c r="K18" s="18">
        <v>-2</v>
      </c>
      <c r="L18" s="18">
        <v>-2.25</v>
      </c>
      <c r="M18" s="18">
        <v>-3.875</v>
      </c>
      <c r="N18" s="18">
        <v>-4.7750000000000004</v>
      </c>
      <c r="O18" s="277" t="e">
        <v>#N/A</v>
      </c>
      <c r="P18" s="278" t="e">
        <v>#N/A</v>
      </c>
      <c r="Q18" s="301"/>
      <c r="R18" s="292"/>
      <c r="S18" s="883" t="s">
        <v>41</v>
      </c>
      <c r="T18" s="884"/>
      <c r="U18" s="16" t="s">
        <v>31</v>
      </c>
      <c r="V18" s="279" t="e">
        <f>IF(OR($U$11="", $U$18="", $U$18="None in this Dropdown"),0,
   INDEX($H$26:$P$30,
         MATCH($U$18,$F$26:$F$30,0),
         MATCH($U$11,$H$10:$P$10,0)))</f>
        <v>#N/A</v>
      </c>
      <c r="W18" s="292"/>
      <c r="X18" s="17"/>
      <c r="Y18" s="17"/>
    </row>
    <row r="19" spans="1:25" ht="15.75" customHeight="1" x14ac:dyDescent="0.25">
      <c r="A19" s="291"/>
      <c r="B19" s="273">
        <v>7.375</v>
      </c>
      <c r="C19" s="338">
        <v>99.819250000000011</v>
      </c>
      <c r="D19" s="338">
        <v>99.519250000000014</v>
      </c>
      <c r="E19" s="292"/>
      <c r="F19" s="881" t="s">
        <v>42</v>
      </c>
      <c r="G19" s="882">
        <v>0</v>
      </c>
      <c r="H19" s="18">
        <v>-2.5</v>
      </c>
      <c r="I19" s="18">
        <v>-2.5</v>
      </c>
      <c r="J19" s="14">
        <v>-2.625</v>
      </c>
      <c r="K19" s="18">
        <v>-2.7749999999999999</v>
      </c>
      <c r="L19" s="18">
        <v>-3.2749999999999999</v>
      </c>
      <c r="M19" s="18">
        <v>-4.7750000000000004</v>
      </c>
      <c r="N19" s="18">
        <v>-5.75</v>
      </c>
      <c r="O19" s="277" t="e">
        <v>#N/A</v>
      </c>
      <c r="P19" s="278" t="e">
        <v>#N/A</v>
      </c>
      <c r="Q19" s="301"/>
      <c r="R19" s="292"/>
      <c r="S19" s="883" t="s">
        <v>592</v>
      </c>
      <c r="T19" s="884"/>
      <c r="U19" s="16" t="s">
        <v>31</v>
      </c>
      <c r="V19" s="279">
        <f>'Feed(WS)'!$R$163</f>
        <v>0</v>
      </c>
      <c r="W19" s="292"/>
      <c r="X19" s="17"/>
      <c r="Y19" s="17"/>
    </row>
    <row r="20" spans="1:25" ht="15.75" customHeight="1" x14ac:dyDescent="0.25">
      <c r="A20" s="291"/>
      <c r="B20" s="273">
        <v>7.4989999999999997</v>
      </c>
      <c r="C20" s="338">
        <v>100.19425000000001</v>
      </c>
      <c r="D20" s="338">
        <v>99.894250000000014</v>
      </c>
      <c r="E20" s="292"/>
      <c r="F20" s="881" t="s">
        <v>44</v>
      </c>
      <c r="G20" s="882">
        <v>0</v>
      </c>
      <c r="H20" s="18">
        <v>-3</v>
      </c>
      <c r="I20" s="18">
        <v>-3.25</v>
      </c>
      <c r="J20" s="14">
        <v>-3.5</v>
      </c>
      <c r="K20" s="18">
        <v>-3.75</v>
      </c>
      <c r="L20" s="18">
        <v>-4.25</v>
      </c>
      <c r="M20" s="18">
        <v>-5.625</v>
      </c>
      <c r="N20" s="18">
        <v>-6.5</v>
      </c>
      <c r="O20" s="277" t="e">
        <v>#N/A</v>
      </c>
      <c r="P20" s="278" t="e">
        <v>#N/A</v>
      </c>
      <c r="Q20" s="301"/>
      <c r="R20" s="292"/>
      <c r="S20" s="883" t="s">
        <v>45</v>
      </c>
      <c r="T20" s="884"/>
      <c r="U20" s="16" t="s">
        <v>31</v>
      </c>
      <c r="V20" s="279">
        <f>'Feed(WS)'!$Q$163</f>
        <v>0</v>
      </c>
      <c r="W20" s="292"/>
      <c r="X20" s="17"/>
      <c r="Y20" s="17"/>
    </row>
    <row r="21" spans="1:25" ht="15.75" customHeight="1" x14ac:dyDescent="0.25">
      <c r="A21" s="291"/>
      <c r="B21" s="273">
        <v>7.625</v>
      </c>
      <c r="C21" s="338">
        <v>100.53800000000001</v>
      </c>
      <c r="D21" s="338">
        <v>100.23800000000001</v>
      </c>
      <c r="E21" s="292"/>
      <c r="F21" s="891"/>
      <c r="G21" s="892"/>
      <c r="H21" s="892"/>
      <c r="I21" s="892"/>
      <c r="J21" s="892"/>
      <c r="K21" s="892"/>
      <c r="L21" s="892"/>
      <c r="M21" s="892"/>
      <c r="N21" s="892"/>
      <c r="O21" s="892"/>
      <c r="P21" s="893"/>
      <c r="Q21" s="301"/>
      <c r="R21" s="292"/>
      <c r="S21" s="883" t="s">
        <v>46</v>
      </c>
      <c r="T21" s="884"/>
      <c r="U21" s="16" t="s">
        <v>31</v>
      </c>
      <c r="V21" s="279" t="e">
        <f>IF(OR($U$11="", $U$21=""), "",
   INDEX($H$39:$P$49,
         MATCH($U$21,$F$39:$F$49,0),
         MATCH($U$11,$H$10:$P$10,0)))</f>
        <v>#N/A</v>
      </c>
      <c r="W21" s="292"/>
      <c r="X21" s="17"/>
    </row>
    <row r="22" spans="1:25" x14ac:dyDescent="0.25">
      <c r="A22" s="291"/>
      <c r="B22" s="273">
        <v>7.75</v>
      </c>
      <c r="C22" s="338">
        <v>100.85050000000001</v>
      </c>
      <c r="D22" s="338">
        <v>100.55050000000001</v>
      </c>
      <c r="E22" s="292"/>
      <c r="F22" s="903" t="s">
        <v>27</v>
      </c>
      <c r="G22" s="904"/>
      <c r="H22" s="904"/>
      <c r="I22" s="904"/>
      <c r="J22" s="904"/>
      <c r="K22" s="904"/>
      <c r="L22" s="904"/>
      <c r="M22" s="904"/>
      <c r="N22" s="904"/>
      <c r="O22" s="904"/>
      <c r="P22" s="905"/>
      <c r="Q22" s="292"/>
      <c r="R22" s="292"/>
      <c r="S22" s="883" t="s">
        <v>47</v>
      </c>
      <c r="T22" s="884"/>
      <c r="U22" s="16" t="s">
        <v>31</v>
      </c>
      <c r="V22" s="279" t="e">
        <f>IF(OR($U$11="", $U$22=""), "",
   INDEX($H$33:$P$37,
         MATCH($U$22,$F$33:$F$37,0),
         MATCH($U$11,$H$10:$P$10,0)))</f>
        <v>#N/A</v>
      </c>
      <c r="W22" s="292"/>
    </row>
    <row r="23" spans="1:25" ht="15.75" customHeight="1" x14ac:dyDescent="0.25">
      <c r="A23" s="291"/>
      <c r="B23" s="273">
        <v>7.875</v>
      </c>
      <c r="C23" s="338">
        <v>101.16300000000001</v>
      </c>
      <c r="D23" s="338">
        <v>100.86300000000001</v>
      </c>
      <c r="E23" s="292"/>
      <c r="F23" s="652" t="s">
        <v>48</v>
      </c>
      <c r="G23" s="653"/>
      <c r="H23" s="415">
        <v>0.5</v>
      </c>
      <c r="I23" s="415">
        <v>0.5</v>
      </c>
      <c r="J23" s="415">
        <v>0.5</v>
      </c>
      <c r="K23" s="415">
        <v>0.5</v>
      </c>
      <c r="L23" s="415">
        <v>0.5</v>
      </c>
      <c r="M23" s="415">
        <v>0.5</v>
      </c>
      <c r="N23" s="415">
        <v>0.5</v>
      </c>
      <c r="O23" s="415">
        <v>0.5</v>
      </c>
      <c r="P23" s="440" t="e">
        <v>#N/A</v>
      </c>
      <c r="Q23" s="292"/>
      <c r="R23" s="292"/>
      <c r="S23" s="883" t="s">
        <v>49</v>
      </c>
      <c r="T23" s="884"/>
      <c r="U23" s="16" t="s">
        <v>31</v>
      </c>
      <c r="V23" s="279">
        <f>'Feed(WS)'!$P$168</f>
        <v>0</v>
      </c>
      <c r="W23" s="292"/>
      <c r="Y23" s="23"/>
    </row>
    <row r="24" spans="1:25" ht="15.75" customHeight="1" x14ac:dyDescent="0.25">
      <c r="A24" s="291"/>
      <c r="B24" s="273">
        <v>7.9989999999999997</v>
      </c>
      <c r="C24" s="338">
        <v>101.47550000000001</v>
      </c>
      <c r="D24" s="338">
        <v>101.17550000000001</v>
      </c>
      <c r="E24" s="292"/>
      <c r="F24" s="652" t="s">
        <v>28</v>
      </c>
      <c r="G24" s="653"/>
      <c r="H24" s="415">
        <v>0</v>
      </c>
      <c r="I24" s="415">
        <v>0</v>
      </c>
      <c r="J24" s="415">
        <v>0</v>
      </c>
      <c r="K24" s="415">
        <v>0</v>
      </c>
      <c r="L24" s="415">
        <v>0</v>
      </c>
      <c r="M24" s="415">
        <v>0</v>
      </c>
      <c r="N24" s="415">
        <v>0</v>
      </c>
      <c r="O24" s="415">
        <v>0</v>
      </c>
      <c r="P24" s="440">
        <v>0</v>
      </c>
      <c r="Q24" s="292"/>
      <c r="R24" s="292"/>
      <c r="S24" s="883" t="s">
        <v>50</v>
      </c>
      <c r="T24" s="884"/>
      <c r="U24" s="16" t="s">
        <v>31</v>
      </c>
      <c r="V24" s="279">
        <f>'Feed(WS)'!$P$163</f>
        <v>0</v>
      </c>
      <c r="W24" s="292"/>
      <c r="Y24" s="23"/>
    </row>
    <row r="25" spans="1:25" ht="15.75" customHeight="1" x14ac:dyDescent="0.25">
      <c r="A25" s="291"/>
      <c r="B25" s="273">
        <v>8.125</v>
      </c>
      <c r="C25" s="338">
        <v>101.75675000000001</v>
      </c>
      <c r="D25" s="338">
        <v>101.45675000000001</v>
      </c>
      <c r="E25" s="292"/>
      <c r="F25" s="903" t="s">
        <v>51</v>
      </c>
      <c r="G25" s="904"/>
      <c r="H25" s="904"/>
      <c r="I25" s="904"/>
      <c r="J25" s="904"/>
      <c r="K25" s="904"/>
      <c r="L25" s="904"/>
      <c r="M25" s="904"/>
      <c r="N25" s="904"/>
      <c r="O25" s="904"/>
      <c r="P25" s="905"/>
      <c r="Q25" s="292"/>
      <c r="R25" s="292"/>
      <c r="S25" s="883" t="s">
        <v>52</v>
      </c>
      <c r="T25" s="884"/>
      <c r="U25" s="16" t="s">
        <v>53</v>
      </c>
      <c r="V25" s="279" t="e">
        <f>'Feed(WS)'!$O$163</f>
        <v>#N/A</v>
      </c>
      <c r="W25" s="292"/>
    </row>
    <row r="26" spans="1:25" x14ac:dyDescent="0.25">
      <c r="A26" s="291"/>
      <c r="B26" s="273">
        <v>8.25</v>
      </c>
      <c r="C26" s="338">
        <v>102.03800000000001</v>
      </c>
      <c r="D26" s="338">
        <v>101.73800000000001</v>
      </c>
      <c r="E26" s="292"/>
      <c r="F26" s="652" t="s">
        <v>54</v>
      </c>
      <c r="G26" s="653"/>
      <c r="H26" s="415">
        <v>-0.25</v>
      </c>
      <c r="I26" s="415">
        <v>-0.25</v>
      </c>
      <c r="J26" s="415">
        <v>-0.25</v>
      </c>
      <c r="K26" s="415">
        <v>-0.25</v>
      </c>
      <c r="L26" s="415">
        <v>-0.25</v>
      </c>
      <c r="M26" s="415">
        <v>-0.25</v>
      </c>
      <c r="N26" s="415">
        <v>-0.25</v>
      </c>
      <c r="O26" s="415">
        <v>-0.25</v>
      </c>
      <c r="P26" s="440">
        <v>-0.5</v>
      </c>
      <c r="Q26" s="292"/>
      <c r="R26" s="292"/>
      <c r="S26" s="883" t="s">
        <v>55</v>
      </c>
      <c r="T26" s="884"/>
      <c r="U26" s="16" t="s">
        <v>56</v>
      </c>
      <c r="V26" s="279" t="e">
        <f>'Feed(WS)'!$Q$168</f>
        <v>#N/A</v>
      </c>
      <c r="W26" s="292"/>
    </row>
    <row r="27" spans="1:25" ht="15.75" customHeight="1" x14ac:dyDescent="0.25">
      <c r="A27" s="291"/>
      <c r="B27" s="273">
        <v>8.375</v>
      </c>
      <c r="C27" s="338">
        <v>102.31925000000001</v>
      </c>
      <c r="D27" s="338">
        <v>102.01925000000001</v>
      </c>
      <c r="E27" s="292"/>
      <c r="F27" s="652" t="s">
        <v>57</v>
      </c>
      <c r="G27" s="653"/>
      <c r="H27" s="415">
        <v>-0.25</v>
      </c>
      <c r="I27" s="415">
        <v>-0.25</v>
      </c>
      <c r="J27" s="415">
        <v>-0.25</v>
      </c>
      <c r="K27" s="415">
        <v>-0.25</v>
      </c>
      <c r="L27" s="415">
        <v>-0.25</v>
      </c>
      <c r="M27" s="415">
        <v>-0.25</v>
      </c>
      <c r="N27" s="415">
        <v>-0.25</v>
      </c>
      <c r="O27" s="415">
        <v>-0.25</v>
      </c>
      <c r="P27" s="440">
        <v>-0.5</v>
      </c>
      <c r="Q27" s="292"/>
      <c r="R27" s="292"/>
      <c r="S27" s="883" t="s">
        <v>58</v>
      </c>
      <c r="T27" s="884"/>
      <c r="U27" s="16" t="s">
        <v>31</v>
      </c>
      <c r="V27" s="279">
        <f>IF($U$11="", "",
   IF($U$27="Choose a Selection",0,
      INDEX($H$57:$P$68,
           MATCH($U$27,$F$57:$F$68,0),
           MATCH($U$11,$H$10:$P$10,0))))</f>
        <v>0</v>
      </c>
      <c r="W27" s="292"/>
      <c r="X27" s="3"/>
    </row>
    <row r="28" spans="1:25" ht="15.75" customHeight="1" x14ac:dyDescent="0.25">
      <c r="A28" s="291"/>
      <c r="B28" s="273">
        <v>8.4990000000000006</v>
      </c>
      <c r="C28" s="338">
        <v>102.56925000000001</v>
      </c>
      <c r="D28" s="338">
        <v>102.26925000000001</v>
      </c>
      <c r="E28" s="292"/>
      <c r="F28" s="652" t="s">
        <v>59</v>
      </c>
      <c r="G28" s="653"/>
      <c r="H28" s="415">
        <v>-0.375</v>
      </c>
      <c r="I28" s="415">
        <v>-0.5</v>
      </c>
      <c r="J28" s="415">
        <v>-0.5</v>
      </c>
      <c r="K28" s="415">
        <v>-0.5</v>
      </c>
      <c r="L28" s="415">
        <v>-0.75</v>
      </c>
      <c r="M28" s="415">
        <v>-1</v>
      </c>
      <c r="N28" s="415">
        <v>-1.5</v>
      </c>
      <c r="O28" s="415" t="e">
        <v>#N/A</v>
      </c>
      <c r="P28" s="440" t="e">
        <v>#N/A</v>
      </c>
      <c r="Q28" s="292"/>
      <c r="R28" s="292"/>
      <c r="S28" s="883" t="s">
        <v>60</v>
      </c>
      <c r="T28" s="884"/>
      <c r="U28" s="16"/>
      <c r="V28" s="279">
        <v>0</v>
      </c>
      <c r="W28" s="292"/>
      <c r="X28" s="3"/>
    </row>
    <row r="29" spans="1:25" x14ac:dyDescent="0.25">
      <c r="A29" s="291"/>
      <c r="B29" s="273">
        <v>8.625</v>
      </c>
      <c r="C29" s="338">
        <v>102.81925000000001</v>
      </c>
      <c r="D29" s="338">
        <v>102.51925000000001</v>
      </c>
      <c r="E29" s="292"/>
      <c r="F29" s="652" t="s">
        <v>61</v>
      </c>
      <c r="G29" s="653"/>
      <c r="H29" s="415">
        <v>-0.125</v>
      </c>
      <c r="I29" s="415">
        <v>-0.25</v>
      </c>
      <c r="J29" s="415">
        <v>-0.25</v>
      </c>
      <c r="K29" s="415">
        <v>-0.25</v>
      </c>
      <c r="L29" s="415">
        <v>-0.25</v>
      </c>
      <c r="M29" s="415">
        <v>-0.25</v>
      </c>
      <c r="N29" s="415">
        <v>-0.375</v>
      </c>
      <c r="O29" s="415">
        <v>-0.375</v>
      </c>
      <c r="P29" s="440">
        <v>-0.5</v>
      </c>
      <c r="Q29" s="292"/>
      <c r="R29" s="292"/>
      <c r="S29" s="883" t="s">
        <v>62</v>
      </c>
      <c r="T29" s="884"/>
      <c r="U29" s="16" t="s">
        <v>31</v>
      </c>
      <c r="V29" s="279">
        <v>0</v>
      </c>
      <c r="W29" s="292"/>
      <c r="X29" s="24"/>
    </row>
    <row r="30" spans="1:25" x14ac:dyDescent="0.25">
      <c r="A30" s="291"/>
      <c r="B30" s="273">
        <v>8.75</v>
      </c>
      <c r="C30" s="338">
        <v>103.06925000000001</v>
      </c>
      <c r="D30" s="338">
        <v>102.76925000000001</v>
      </c>
      <c r="E30" s="292"/>
      <c r="F30" s="652" t="s">
        <v>63</v>
      </c>
      <c r="G30" s="653"/>
      <c r="H30" s="415">
        <v>-0.75</v>
      </c>
      <c r="I30" s="415">
        <v>-0.75</v>
      </c>
      <c r="J30" s="415">
        <v>-0.75</v>
      </c>
      <c r="K30" s="415">
        <v>-0.75</v>
      </c>
      <c r="L30" s="415">
        <v>-1</v>
      </c>
      <c r="M30" s="415">
        <v>-1.5</v>
      </c>
      <c r="N30" s="415">
        <v>-2</v>
      </c>
      <c r="O30" s="415" t="e">
        <v>#N/A</v>
      </c>
      <c r="P30" s="440" t="e">
        <v>#N/A</v>
      </c>
      <c r="Q30" s="292"/>
      <c r="R30" s="292"/>
      <c r="S30" s="883" t="s">
        <v>64</v>
      </c>
      <c r="T30" s="884"/>
      <c r="U30" s="25" t="s">
        <v>65</v>
      </c>
      <c r="V30" s="279" t="e">
        <f>'Feed(WS)'!$R$168</f>
        <v>#N/A</v>
      </c>
      <c r="W30" s="292"/>
    </row>
    <row r="31" spans="1:25" x14ac:dyDescent="0.25">
      <c r="A31" s="291"/>
      <c r="B31" s="273">
        <v>8.875</v>
      </c>
      <c r="C31" s="338">
        <v>103.31925000000001</v>
      </c>
      <c r="D31" s="338">
        <v>103.01925000000001</v>
      </c>
      <c r="E31" s="292"/>
      <c r="F31" s="652" t="s">
        <v>737</v>
      </c>
      <c r="G31" s="653"/>
      <c r="H31" s="415">
        <v>0.25</v>
      </c>
      <c r="I31" s="415">
        <v>0.25</v>
      </c>
      <c r="J31" s="415">
        <v>0.25</v>
      </c>
      <c r="K31" s="415">
        <v>0.25</v>
      </c>
      <c r="L31" s="415">
        <v>0.25</v>
      </c>
      <c r="M31" s="415">
        <v>0.25</v>
      </c>
      <c r="N31" s="415">
        <v>0.25</v>
      </c>
      <c r="O31" s="415">
        <v>0.25</v>
      </c>
      <c r="P31" s="440">
        <v>0.25</v>
      </c>
      <c r="Q31" s="292"/>
      <c r="R31" s="292"/>
      <c r="S31" s="883" t="s">
        <v>66</v>
      </c>
      <c r="T31" s="884"/>
      <c r="U31" s="25" t="s">
        <v>67</v>
      </c>
      <c r="V31" s="279" cm="1">
        <f t="array" ref="V31">IF(OR(
      AND(OR($U$31='Feed(WS)'!$R$4:$R$5), $U$22&lt;&gt;'Feed(WS)'!$J$3),
      AND(OR($U$31='Feed(WS)'!$R$4:$R$5), $U$25&lt;&gt;'Feed(WS)'!$M$4),
      AND(OR($U$31='Feed(WS)'!$R$4:$R$5), $U$23&lt;&gt;'Feed(WS)'!$L$3:$L$4),
   ),
   NA(),
   0)</f>
        <v>0</v>
      </c>
      <c r="W31" s="292"/>
    </row>
    <row r="32" spans="1:25" x14ac:dyDescent="0.25">
      <c r="A32" s="291"/>
      <c r="B32" s="273">
        <v>8.9990000000000006</v>
      </c>
      <c r="C32" s="338">
        <v>103.56925000000001</v>
      </c>
      <c r="D32" s="338">
        <v>103.26925000000001</v>
      </c>
      <c r="E32" s="292"/>
      <c r="F32" s="903" t="s">
        <v>47</v>
      </c>
      <c r="G32" s="904"/>
      <c r="H32" s="904"/>
      <c r="I32" s="904"/>
      <c r="J32" s="904"/>
      <c r="K32" s="904"/>
      <c r="L32" s="904"/>
      <c r="M32" s="904"/>
      <c r="N32" s="904"/>
      <c r="O32" s="904"/>
      <c r="P32" s="905"/>
      <c r="Q32" s="292"/>
      <c r="R32" s="292"/>
      <c r="S32" s="883" t="s">
        <v>69</v>
      </c>
      <c r="T32" s="884"/>
      <c r="U32" s="25" t="s">
        <v>67</v>
      </c>
      <c r="V32" s="279">
        <f>IF($U$11="","",
   IF($U$32="","",
      IF(OR($U$32="No",$U$32="Choose a Selection"),0,
         INDEX($H$70:$P$76,
              MATCH(IF($U$32="Yes",$S$32,$U$32),$F$70:$F$76,0),
              MATCH($U$11,$H$10:$P$10,0)))))</f>
        <v>0</v>
      </c>
      <c r="W32" s="292"/>
    </row>
    <row r="33" spans="1:25" ht="15.75" customHeight="1" x14ac:dyDescent="0.25">
      <c r="A33" s="291"/>
      <c r="B33" s="273">
        <v>9.125</v>
      </c>
      <c r="C33" s="338">
        <v>103.81925000000001</v>
      </c>
      <c r="D33" s="338">
        <v>103.51925000000001</v>
      </c>
      <c r="E33" s="292"/>
      <c r="F33" s="620" t="s">
        <v>68</v>
      </c>
      <c r="G33" s="621"/>
      <c r="H33" s="415">
        <v>0</v>
      </c>
      <c r="I33" s="415">
        <v>0</v>
      </c>
      <c r="J33" s="415">
        <v>0</v>
      </c>
      <c r="K33" s="415">
        <v>0</v>
      </c>
      <c r="L33" s="415">
        <v>0</v>
      </c>
      <c r="M33" s="415">
        <v>0</v>
      </c>
      <c r="N33" s="415">
        <v>0</v>
      </c>
      <c r="O33" s="415">
        <v>0</v>
      </c>
      <c r="P33" s="440">
        <v>0</v>
      </c>
      <c r="Q33" s="292"/>
      <c r="R33" s="292"/>
      <c r="S33" s="883" t="s">
        <v>71</v>
      </c>
      <c r="T33" s="884"/>
      <c r="U33" s="26" t="str">
        <f>IF(ISNA(V33),"Yes",IF(V33=0,"No",""))</f>
        <v>No</v>
      </c>
      <c r="V33" s="279">
        <f>'Feed(WS)'!$B$67</f>
        <v>0</v>
      </c>
      <c r="W33" s="292"/>
    </row>
    <row r="34" spans="1:25" x14ac:dyDescent="0.25">
      <c r="A34" s="291"/>
      <c r="B34" s="273">
        <v>9.25</v>
      </c>
      <c r="C34" s="338">
        <v>104.06925000000001</v>
      </c>
      <c r="D34" s="338">
        <v>103.76925000000001</v>
      </c>
      <c r="E34" s="292"/>
      <c r="F34" s="620" t="s">
        <v>70</v>
      </c>
      <c r="G34" s="621"/>
      <c r="H34" s="415">
        <v>0</v>
      </c>
      <c r="I34" s="415">
        <v>0</v>
      </c>
      <c r="J34" s="415">
        <v>0</v>
      </c>
      <c r="K34" s="415">
        <v>0</v>
      </c>
      <c r="L34" s="415">
        <v>0</v>
      </c>
      <c r="M34" s="415">
        <v>0</v>
      </c>
      <c r="N34" s="415">
        <v>-0.125</v>
      </c>
      <c r="O34" s="415">
        <v>-0.125</v>
      </c>
      <c r="P34" s="440" t="e">
        <v>#N/A</v>
      </c>
      <c r="Q34" s="292"/>
      <c r="R34" s="292"/>
      <c r="S34" s="883" t="s">
        <v>769</v>
      </c>
      <c r="T34" s="884"/>
      <c r="U34" s="25" t="s">
        <v>31</v>
      </c>
      <c r="V34" s="279" t="str">
        <f>IF(U34="Tier 1 States",V78,IF(U34="Tier 2 States",V80,IF(U34="Tier 3 States",V82,"0.000")))</f>
        <v>0.000</v>
      </c>
      <c r="W34" s="292"/>
    </row>
    <row r="35" spans="1:25" ht="15.75" customHeight="1" x14ac:dyDescent="0.25">
      <c r="A35" s="291"/>
      <c r="B35" s="273">
        <v>9.375</v>
      </c>
      <c r="C35" s="338">
        <v>104.31925000000001</v>
      </c>
      <c r="D35" s="338">
        <v>104.01925000000001</v>
      </c>
      <c r="E35" s="292"/>
      <c r="F35" s="620" t="s">
        <v>72</v>
      </c>
      <c r="G35" s="621"/>
      <c r="H35" s="415">
        <v>0</v>
      </c>
      <c r="I35" s="415">
        <v>-0.125</v>
      </c>
      <c r="J35" s="415">
        <v>-0.125</v>
      </c>
      <c r="K35" s="415">
        <v>-0.25</v>
      </c>
      <c r="L35" s="415">
        <v>-0.25</v>
      </c>
      <c r="M35" s="415">
        <v>-0.25</v>
      </c>
      <c r="N35" s="415">
        <v>-0.5</v>
      </c>
      <c r="O35" s="415" t="e">
        <v>#N/A</v>
      </c>
      <c r="P35" s="440" t="e">
        <v>#N/A</v>
      </c>
      <c r="Q35" s="292"/>
      <c r="R35" s="292"/>
      <c r="S35" s="883" t="str">
        <f>IF('Feed(WS)'!Z1=0,"",INDEX('Feed(WS)'!$AA$1:$AA$3,MATCH('Feed(WS)'!Z1,'Feed(WS)'!$Z$1:$Z$3,0)))</f>
        <v>Special</v>
      </c>
      <c r="T35" s="884"/>
      <c r="U35" s="26" t="str">
        <f>IF(V35=FALSE,"Not Applicable",'Feed(WS)'!Y5)</f>
        <v>Not Applicable</v>
      </c>
      <c r="V35" s="279" t="b">
        <f>'Feed(WS)'!$Z$1</f>
        <v>0</v>
      </c>
      <c r="W35" s="292"/>
    </row>
    <row r="36" spans="1:25" x14ac:dyDescent="0.25">
      <c r="A36" s="291"/>
      <c r="B36" s="273">
        <v>9.4990000000000006</v>
      </c>
      <c r="C36" s="338">
        <v>104.56925000000001</v>
      </c>
      <c r="D36" s="338">
        <v>104.26925000000001</v>
      </c>
      <c r="E36" s="292"/>
      <c r="F36" s="620" t="s">
        <v>75</v>
      </c>
      <c r="G36" s="621"/>
      <c r="H36" s="415">
        <v>-0.25</v>
      </c>
      <c r="I36" s="415">
        <v>-0.25</v>
      </c>
      <c r="J36" s="415">
        <v>-0.25</v>
      </c>
      <c r="K36" s="415">
        <v>-0.25</v>
      </c>
      <c r="L36" s="415">
        <v>-0.25</v>
      </c>
      <c r="M36" s="415">
        <v>-0.5</v>
      </c>
      <c r="N36" s="415">
        <v>-0.5</v>
      </c>
      <c r="O36" s="415" t="e">
        <v>#N/A</v>
      </c>
      <c r="P36" s="440" t="e">
        <v>#N/A</v>
      </c>
      <c r="Q36" s="292"/>
      <c r="R36" s="292"/>
      <c r="S36" s="923" t="s">
        <v>77</v>
      </c>
      <c r="T36" s="924"/>
      <c r="U36" s="925"/>
      <c r="V36" s="438" t="e">
        <f>SUM($V$12:$V$35)</f>
        <v>#N/A</v>
      </c>
      <c r="W36" s="292"/>
    </row>
    <row r="37" spans="1:25" ht="15.75" customHeight="1" x14ac:dyDescent="0.25">
      <c r="A37" s="291"/>
      <c r="B37" s="273">
        <v>9.625</v>
      </c>
      <c r="C37" s="338">
        <v>104.75675000000001</v>
      </c>
      <c r="D37" s="338">
        <v>104.45675000000001</v>
      </c>
      <c r="E37" s="292"/>
      <c r="F37" s="620" t="s">
        <v>76</v>
      </c>
      <c r="G37" s="621"/>
      <c r="H37" s="415">
        <v>-0.5</v>
      </c>
      <c r="I37" s="415">
        <v>-0.5</v>
      </c>
      <c r="J37" s="415">
        <v>-0.625</v>
      </c>
      <c r="K37" s="415">
        <v>-0.625</v>
      </c>
      <c r="L37" s="415">
        <v>-0.75</v>
      </c>
      <c r="M37" s="415">
        <v>-1</v>
      </c>
      <c r="N37" s="415" t="e">
        <v>#N/A</v>
      </c>
      <c r="O37" s="415" t="e">
        <v>#N/A</v>
      </c>
      <c r="P37" s="440" t="e">
        <v>#N/A</v>
      </c>
      <c r="Q37" s="302"/>
      <c r="R37" s="292"/>
      <c r="S37" s="923" t="s">
        <v>79</v>
      </c>
      <c r="T37" s="924"/>
      <c r="U37" s="925"/>
      <c r="V37" s="438" t="str">
        <f>IFERROR(INDEX(C10:D50, MATCH(U10, B10:B50, 0), MATCH(U17, C10:D10, 0)), "#N/A")</f>
        <v>#N/A</v>
      </c>
      <c r="W37" s="292"/>
      <c r="Y37" s="24"/>
    </row>
    <row r="38" spans="1:25" ht="15.75" customHeight="1" x14ac:dyDescent="0.25">
      <c r="A38" s="291"/>
      <c r="B38" s="273">
        <v>9.75</v>
      </c>
      <c r="C38" s="338">
        <v>104.94425000000001</v>
      </c>
      <c r="D38" s="338">
        <v>104.64425000000001</v>
      </c>
      <c r="E38" s="292"/>
      <c r="F38" s="908" t="s">
        <v>78</v>
      </c>
      <c r="G38" s="909"/>
      <c r="H38" s="909"/>
      <c r="I38" s="909"/>
      <c r="J38" s="909"/>
      <c r="K38" s="909"/>
      <c r="L38" s="909"/>
      <c r="M38" s="909"/>
      <c r="N38" s="909"/>
      <c r="O38" s="909"/>
      <c r="P38" s="910"/>
      <c r="Q38" s="292"/>
      <c r="R38" s="292"/>
      <c r="S38" s="923" t="s">
        <v>81</v>
      </c>
      <c r="T38" s="924"/>
      <c r="U38" s="925"/>
      <c r="V38" s="438" t="str">
        <f>IFERROR(IF(AND(OR(U19='Feed(WS)'!P6),U10&lt;T69),"Minimum Rate",IF(AND($U$10&lt;&gt;'Feed(WS)'!$K$134,V39=T66),NA(),V37+V36+S84)),"Minimum Rate")</f>
        <v>Minimum Rate</v>
      </c>
      <c r="W38" s="292"/>
    </row>
    <row r="39" spans="1:25" x14ac:dyDescent="0.25">
      <c r="A39" s="291"/>
      <c r="B39" s="273">
        <v>9.875</v>
      </c>
      <c r="C39" s="338">
        <v>105.13175000000001</v>
      </c>
      <c r="D39" s="338">
        <v>104.83175000000001</v>
      </c>
      <c r="E39" s="292"/>
      <c r="F39" s="620" t="s">
        <v>80</v>
      </c>
      <c r="G39" s="621"/>
      <c r="H39" s="415">
        <v>-0.5</v>
      </c>
      <c r="I39" s="415">
        <v>-0.75</v>
      </c>
      <c r="J39" s="415">
        <v>-0.75</v>
      </c>
      <c r="K39" s="415">
        <v>-0.75</v>
      </c>
      <c r="L39" s="415">
        <v>-0.75</v>
      </c>
      <c r="M39" s="415">
        <v>-0.875</v>
      </c>
      <c r="N39" s="415">
        <v>-1</v>
      </c>
      <c r="O39" s="415">
        <v>-1.25</v>
      </c>
      <c r="P39" s="440">
        <v>-1.25</v>
      </c>
      <c r="Q39" s="292"/>
      <c r="R39" s="292"/>
      <c r="S39" s="923" t="s">
        <v>83</v>
      </c>
      <c r="T39" s="924"/>
      <c r="U39" s="925"/>
      <c r="V39" s="438" t="e">
        <f>IF(OR('Feed(WS)'!$E$147=0, ISERROR('Feed(WS)'!$E$147)), NA(), 'Feed(WS)'!$E$147)</f>
        <v>#N/A</v>
      </c>
      <c r="W39" s="292"/>
    </row>
    <row r="40" spans="1:25" ht="14.25" customHeight="1" x14ac:dyDescent="0.25">
      <c r="A40" s="291"/>
      <c r="B40" s="273">
        <v>9.9990000000000006</v>
      </c>
      <c r="C40" s="338">
        <v>105.31925000000001</v>
      </c>
      <c r="D40" s="338">
        <v>105.01925000000001</v>
      </c>
      <c r="E40" s="292"/>
      <c r="F40" s="620" t="s">
        <v>82</v>
      </c>
      <c r="G40" s="621"/>
      <c r="H40" s="415">
        <v>0</v>
      </c>
      <c r="I40" s="415">
        <v>0</v>
      </c>
      <c r="J40" s="415">
        <v>-0.125</v>
      </c>
      <c r="K40" s="415">
        <v>-0.125</v>
      </c>
      <c r="L40" s="415">
        <v>-0.125</v>
      </c>
      <c r="M40" s="415">
        <v>-0.125</v>
      </c>
      <c r="N40" s="415">
        <v>-0.25</v>
      </c>
      <c r="O40" s="415">
        <v>-0.25</v>
      </c>
      <c r="P40" s="440">
        <v>-0.25</v>
      </c>
      <c r="Q40" s="292"/>
      <c r="R40" s="292"/>
      <c r="S40" s="766" t="s">
        <v>85</v>
      </c>
      <c r="T40" s="767"/>
      <c r="U40" s="768"/>
      <c r="V40" s="200" t="e">
        <f>IF(OR($V$36="#NA",$V$37="#NA"),NA(),IF(AND($U$10&lt;&gt;'Feed(WS)'!$K$134,$V$39=$T$66),NA(),IF($V$38&gt;$V$39,$V$39,$V$38)))</f>
        <v>#N/A</v>
      </c>
      <c r="W40" s="292"/>
    </row>
    <row r="41" spans="1:25" ht="14.25" customHeight="1" x14ac:dyDescent="0.25">
      <c r="A41" s="291"/>
      <c r="B41" s="273">
        <v>10.125</v>
      </c>
      <c r="C41" s="338">
        <v>105.50675000000001</v>
      </c>
      <c r="D41" s="338">
        <v>105.20675000000001</v>
      </c>
      <c r="E41" s="292"/>
      <c r="F41" s="620" t="s">
        <v>775</v>
      </c>
      <c r="G41" s="621"/>
      <c r="H41" s="415">
        <v>0.125</v>
      </c>
      <c r="I41" s="415">
        <v>0.125</v>
      </c>
      <c r="J41" s="415">
        <v>0.125</v>
      </c>
      <c r="K41" s="415">
        <v>0.125</v>
      </c>
      <c r="L41" s="415">
        <v>0.125</v>
      </c>
      <c r="M41" s="415">
        <v>0.125</v>
      </c>
      <c r="N41" s="415">
        <v>0.125</v>
      </c>
      <c r="O41" s="415">
        <v>0</v>
      </c>
      <c r="P41" s="440">
        <v>0</v>
      </c>
      <c r="Q41" s="292"/>
      <c r="R41" s="292"/>
      <c r="S41" s="790" t="str" cm="1">
        <f t="array" ref="S41">IF(OR($U$11:$U$25="Choose a Selection"),"",CONCATENATE('Feed(WS)'!$I$134," ",'Feed(WS)'!$K$134,"%"&amp;" @ "&amp;'Feed(WS)'!$L$134))</f>
        <v/>
      </c>
      <c r="T41" s="791"/>
      <c r="U41" s="791"/>
      <c r="V41" s="792"/>
      <c r="W41" s="292"/>
    </row>
    <row r="42" spans="1:25" ht="15.75" customHeight="1" thickBot="1" x14ac:dyDescent="0.3">
      <c r="A42" s="291"/>
      <c r="B42" s="273">
        <v>10.25</v>
      </c>
      <c r="C42" s="338">
        <v>105.69425000000001</v>
      </c>
      <c r="D42" s="338">
        <v>105.39425000000001</v>
      </c>
      <c r="E42" s="292"/>
      <c r="F42" s="620" t="s">
        <v>776</v>
      </c>
      <c r="G42" s="621"/>
      <c r="H42" s="21">
        <v>0.375</v>
      </c>
      <c r="I42" s="21">
        <v>0.375</v>
      </c>
      <c r="J42" s="21">
        <v>0.375</v>
      </c>
      <c r="K42" s="21">
        <v>0.375</v>
      </c>
      <c r="L42" s="21">
        <v>0.375</v>
      </c>
      <c r="M42" s="21">
        <v>0.25</v>
      </c>
      <c r="N42" s="21">
        <v>0.25</v>
      </c>
      <c r="O42" s="21">
        <v>0.25</v>
      </c>
      <c r="P42" s="22">
        <v>0.25</v>
      </c>
      <c r="Q42" s="292"/>
      <c r="R42" s="292"/>
      <c r="S42" s="885" t="s">
        <v>759</v>
      </c>
      <c r="T42" s="886"/>
      <c r="U42" s="886"/>
      <c r="V42" s="886"/>
      <c r="W42" s="292"/>
    </row>
    <row r="43" spans="1:25" ht="14.25" customHeight="1" thickBot="1" x14ac:dyDescent="0.3">
      <c r="A43" s="291"/>
      <c r="B43" s="273">
        <v>10.375</v>
      </c>
      <c r="C43" s="338">
        <v>105.88175000000001</v>
      </c>
      <c r="D43" s="338">
        <v>105.58175000000001</v>
      </c>
      <c r="E43" s="292"/>
      <c r="F43" s="645" t="s">
        <v>86</v>
      </c>
      <c r="G43" s="646"/>
      <c r="H43" s="415">
        <v>0.625</v>
      </c>
      <c r="I43" s="415">
        <v>0.375</v>
      </c>
      <c r="J43" s="415">
        <v>0.375</v>
      </c>
      <c r="K43" s="415">
        <v>0.25</v>
      </c>
      <c r="L43" s="415">
        <v>0.25</v>
      </c>
      <c r="M43" s="415">
        <v>0.25</v>
      </c>
      <c r="N43" s="415">
        <v>0.25</v>
      </c>
      <c r="O43" s="415">
        <v>0</v>
      </c>
      <c r="P43" s="440">
        <v>0</v>
      </c>
      <c r="Q43" s="303"/>
      <c r="R43" s="292"/>
      <c r="S43" s="911" t="s">
        <v>760</v>
      </c>
      <c r="T43" s="912"/>
      <c r="U43" s="887">
        <v>500000</v>
      </c>
      <c r="V43" s="888"/>
      <c r="W43" s="292"/>
    </row>
    <row r="44" spans="1:25" ht="15.75" customHeight="1" thickBot="1" x14ac:dyDescent="0.3">
      <c r="A44" s="291"/>
      <c r="B44" s="273">
        <v>10.499000000000001</v>
      </c>
      <c r="C44" s="338">
        <v>106.00675000000001</v>
      </c>
      <c r="D44" s="338">
        <v>105.70675000000001</v>
      </c>
      <c r="E44" s="292"/>
      <c r="F44" s="645" t="s">
        <v>87</v>
      </c>
      <c r="G44" s="646"/>
      <c r="H44" s="415">
        <v>0.25</v>
      </c>
      <c r="I44" s="415">
        <v>0.25</v>
      </c>
      <c r="J44" s="415">
        <v>0.125</v>
      </c>
      <c r="K44" s="415">
        <v>0.125</v>
      </c>
      <c r="L44" s="415">
        <v>0.125</v>
      </c>
      <c r="M44" s="415">
        <v>0.125</v>
      </c>
      <c r="N44" s="415">
        <v>0.125</v>
      </c>
      <c r="O44" s="415">
        <v>0</v>
      </c>
      <c r="P44" s="440">
        <v>0</v>
      </c>
      <c r="Q44" s="292"/>
      <c r="R44" s="292"/>
      <c r="S44" s="911" t="s">
        <v>761</v>
      </c>
      <c r="T44" s="912"/>
      <c r="U44" s="466">
        <v>2.25</v>
      </c>
      <c r="V44" s="467">
        <f>U44/100*U43</f>
        <v>11250</v>
      </c>
      <c r="W44" s="292"/>
    </row>
    <row r="45" spans="1:25" ht="14.25" customHeight="1" thickBot="1" x14ac:dyDescent="0.3">
      <c r="A45" s="291"/>
      <c r="B45" s="273">
        <v>10.625</v>
      </c>
      <c r="C45" s="338">
        <v>106.13175000000001</v>
      </c>
      <c r="D45" s="338">
        <v>105.83175000000001</v>
      </c>
      <c r="E45" s="292"/>
      <c r="F45" s="645" t="s">
        <v>89</v>
      </c>
      <c r="G45" s="646"/>
      <c r="H45" s="415">
        <v>-0.25</v>
      </c>
      <c r="I45" s="415">
        <v>-0.25</v>
      </c>
      <c r="J45" s="415">
        <v>-0.25</v>
      </c>
      <c r="K45" s="415">
        <v>-0.25</v>
      </c>
      <c r="L45" s="415">
        <v>-0.25</v>
      </c>
      <c r="M45" s="415">
        <v>-0.25</v>
      </c>
      <c r="N45" s="415">
        <v>-0.375</v>
      </c>
      <c r="O45" s="415">
        <v>-0.5</v>
      </c>
      <c r="P45" s="440" t="e">
        <v>#N/A</v>
      </c>
      <c r="Q45" s="292"/>
      <c r="R45" s="292"/>
      <c r="S45" s="911" t="s">
        <v>762</v>
      </c>
      <c r="T45" s="912"/>
      <c r="U45" s="465"/>
      <c r="V45" s="468">
        <f>U45/U43*100</f>
        <v>0</v>
      </c>
      <c r="W45" s="292"/>
    </row>
    <row r="46" spans="1:25" ht="14.25" customHeight="1" thickBot="1" x14ac:dyDescent="0.3">
      <c r="A46" s="291"/>
      <c r="B46" s="273">
        <v>10.75</v>
      </c>
      <c r="C46" s="338">
        <v>106.25675000000001</v>
      </c>
      <c r="D46" s="338">
        <v>105.95675000000001</v>
      </c>
      <c r="E46" s="292"/>
      <c r="F46" s="645" t="s">
        <v>90</v>
      </c>
      <c r="G46" s="646"/>
      <c r="H46" s="415">
        <v>-0.5</v>
      </c>
      <c r="I46" s="415">
        <v>-0.5</v>
      </c>
      <c r="J46" s="415">
        <v>-0.5</v>
      </c>
      <c r="K46" s="415">
        <v>-0.5</v>
      </c>
      <c r="L46" s="415">
        <v>-0.5</v>
      </c>
      <c r="M46" s="415">
        <v>-0.5</v>
      </c>
      <c r="N46" s="415">
        <v>-0.5</v>
      </c>
      <c r="O46" s="415" t="e">
        <v>#N/A</v>
      </c>
      <c r="P46" s="440" t="e">
        <v>#N/A</v>
      </c>
      <c r="Q46" s="292"/>
      <c r="R46" s="292"/>
      <c r="S46" s="911" t="s">
        <v>763</v>
      </c>
      <c r="T46" s="912"/>
      <c r="U46" s="889">
        <f>U44+V45</f>
        <v>2.25</v>
      </c>
      <c r="V46" s="890"/>
      <c r="W46" s="292"/>
    </row>
    <row r="47" spans="1:25" ht="14.25" customHeight="1" x14ac:dyDescent="0.25">
      <c r="A47" s="291"/>
      <c r="B47" s="273"/>
      <c r="C47" s="273"/>
      <c r="D47" s="273"/>
      <c r="E47" s="292"/>
      <c r="F47" s="645" t="s">
        <v>91</v>
      </c>
      <c r="G47" s="646"/>
      <c r="H47" s="415">
        <v>-1</v>
      </c>
      <c r="I47" s="415">
        <v>-1</v>
      </c>
      <c r="J47" s="415">
        <v>-1</v>
      </c>
      <c r="K47" s="415">
        <v>-1</v>
      </c>
      <c r="L47" s="415">
        <v>-1</v>
      </c>
      <c r="M47" s="415">
        <v>-1</v>
      </c>
      <c r="N47" s="415">
        <v>-1</v>
      </c>
      <c r="O47" s="415" t="e">
        <v>#N/A</v>
      </c>
      <c r="P47" s="440" t="e">
        <v>#N/A</v>
      </c>
      <c r="Q47" s="292"/>
      <c r="R47" s="292"/>
      <c r="S47" s="871" t="s">
        <v>764</v>
      </c>
      <c r="T47" s="872"/>
      <c r="U47" s="873" t="e">
        <f>V40-U46+U48+V48+U49</f>
        <v>#N/A</v>
      </c>
      <c r="V47" s="874"/>
      <c r="W47" s="292"/>
    </row>
    <row r="48" spans="1:25" ht="15.75" customHeight="1" x14ac:dyDescent="0.25">
      <c r="A48" s="291"/>
      <c r="B48" s="273"/>
      <c r="C48" s="273"/>
      <c r="D48" s="273"/>
      <c r="E48" s="292"/>
      <c r="F48" s="645" t="s">
        <v>92</v>
      </c>
      <c r="G48" s="646"/>
      <c r="H48" s="415">
        <v>-2</v>
      </c>
      <c r="I48" s="415">
        <v>-2</v>
      </c>
      <c r="J48" s="415">
        <v>-2</v>
      </c>
      <c r="K48" s="415">
        <v>-2</v>
      </c>
      <c r="L48" s="415">
        <v>-2</v>
      </c>
      <c r="M48" s="415" t="e">
        <v>#N/A</v>
      </c>
      <c r="N48" s="415" t="e">
        <v>#N/A</v>
      </c>
      <c r="O48" s="415" t="e">
        <v>#N/A</v>
      </c>
      <c r="P48" s="440" t="e">
        <v>#N/A</v>
      </c>
      <c r="Q48" s="292"/>
      <c r="R48" s="292"/>
      <c r="S48" s="913" t="s">
        <v>944</v>
      </c>
      <c r="T48" s="914"/>
      <c r="U48" s="609"/>
      <c r="V48" s="610"/>
      <c r="W48" s="292"/>
    </row>
    <row r="49" spans="1:23" ht="15.75" customHeight="1" x14ac:dyDescent="0.25">
      <c r="A49" s="291"/>
      <c r="B49" s="273"/>
      <c r="C49" s="273"/>
      <c r="D49" s="273"/>
      <c r="E49" s="292"/>
      <c r="F49" s="645" t="s">
        <v>93</v>
      </c>
      <c r="G49" s="646"/>
      <c r="H49" s="415">
        <v>-3</v>
      </c>
      <c r="I49" s="415">
        <v>-3</v>
      </c>
      <c r="J49" s="415">
        <v>-3</v>
      </c>
      <c r="K49" s="415">
        <v>-3</v>
      </c>
      <c r="L49" s="415" t="e">
        <v>#N/A</v>
      </c>
      <c r="M49" s="415" t="e">
        <v>#N/A</v>
      </c>
      <c r="N49" s="415" t="e">
        <v>#N/A</v>
      </c>
      <c r="O49" s="415" t="e">
        <v>#N/A</v>
      </c>
      <c r="P49" s="440" t="e">
        <v>#N/A</v>
      </c>
      <c r="Q49" s="292"/>
      <c r="R49" s="292"/>
      <c r="S49" s="915" t="s">
        <v>943</v>
      </c>
      <c r="T49" s="916"/>
      <c r="U49" s="917"/>
      <c r="V49" s="918"/>
      <c r="W49" s="292"/>
    </row>
    <row r="50" spans="1:23" ht="17.25" customHeight="1" x14ac:dyDescent="0.25">
      <c r="A50" s="291"/>
      <c r="B50" s="273"/>
      <c r="C50" s="273"/>
      <c r="D50" s="273"/>
      <c r="E50" s="292"/>
      <c r="F50" s="908" t="s">
        <v>95</v>
      </c>
      <c r="G50" s="909"/>
      <c r="H50" s="909"/>
      <c r="I50" s="909"/>
      <c r="J50" s="909"/>
      <c r="K50" s="909"/>
      <c r="L50" s="909"/>
      <c r="M50" s="909"/>
      <c r="N50" s="909"/>
      <c r="O50" s="909"/>
      <c r="P50" s="910"/>
      <c r="Q50" s="292"/>
      <c r="R50" s="292"/>
      <c r="S50" s="901" t="s">
        <v>868</v>
      </c>
      <c r="T50" s="901"/>
      <c r="U50" s="901"/>
      <c r="V50" s="901"/>
      <c r="W50" s="306"/>
    </row>
    <row r="51" spans="1:23" ht="13.5" customHeight="1" x14ac:dyDescent="0.25">
      <c r="A51" s="292"/>
      <c r="B51" s="946"/>
      <c r="C51" s="947"/>
      <c r="D51" s="947"/>
      <c r="E51" s="295"/>
      <c r="F51" s="620" t="s">
        <v>96</v>
      </c>
      <c r="G51" s="621"/>
      <c r="H51" s="415">
        <v>0</v>
      </c>
      <c r="I51" s="415">
        <v>0</v>
      </c>
      <c r="J51" s="415">
        <v>-0.125</v>
      </c>
      <c r="K51" s="415">
        <v>-0.375</v>
      </c>
      <c r="L51" s="415">
        <v>-0.375</v>
      </c>
      <c r="M51" s="415">
        <v>-0.375</v>
      </c>
      <c r="N51" s="415">
        <v>-0.375</v>
      </c>
      <c r="O51" s="415">
        <v>-0.5</v>
      </c>
      <c r="P51" s="440" t="e">
        <v>#N/A</v>
      </c>
      <c r="Q51" s="292"/>
      <c r="R51" s="295"/>
      <c r="S51" s="901"/>
      <c r="T51" s="901"/>
      <c r="U51" s="901"/>
      <c r="V51" s="901"/>
      <c r="W51" s="307"/>
    </row>
    <row r="52" spans="1:23" x14ac:dyDescent="0.25">
      <c r="A52" s="292"/>
      <c r="B52" s="948"/>
      <c r="C52" s="949"/>
      <c r="D52" s="949"/>
      <c r="E52" s="292"/>
      <c r="F52" s="620" t="s">
        <v>97</v>
      </c>
      <c r="G52" s="621"/>
      <c r="H52" s="415">
        <v>-0.25</v>
      </c>
      <c r="I52" s="415">
        <v>-0.25</v>
      </c>
      <c r="J52" s="415">
        <v>-0.25</v>
      </c>
      <c r="K52" s="415">
        <v>-0.5</v>
      </c>
      <c r="L52" s="415">
        <v>-0.5</v>
      </c>
      <c r="M52" s="415">
        <v>-0.5</v>
      </c>
      <c r="N52" s="415">
        <v>-0.5</v>
      </c>
      <c r="O52" s="415">
        <v>-0.5</v>
      </c>
      <c r="P52" s="440" t="e">
        <v>#N/A</v>
      </c>
      <c r="Q52" s="292"/>
      <c r="R52" s="292"/>
      <c r="S52" s="901"/>
      <c r="T52" s="901"/>
      <c r="U52" s="901"/>
      <c r="V52" s="901"/>
      <c r="W52" s="307"/>
    </row>
    <row r="53" spans="1:23" x14ac:dyDescent="0.25">
      <c r="A53" s="292"/>
      <c r="B53" s="950"/>
      <c r="C53" s="951"/>
      <c r="D53" s="951"/>
      <c r="E53" s="292"/>
      <c r="F53" s="620" t="s">
        <v>98</v>
      </c>
      <c r="G53" s="621"/>
      <c r="H53" s="415">
        <v>-1</v>
      </c>
      <c r="I53" s="415">
        <v>-1</v>
      </c>
      <c r="J53" s="415">
        <v>-1</v>
      </c>
      <c r="K53" s="415">
        <v>-1</v>
      </c>
      <c r="L53" s="415">
        <v>-1.25</v>
      </c>
      <c r="M53" s="415">
        <v>-1.5</v>
      </c>
      <c r="N53" s="415" t="e">
        <v>#N/A</v>
      </c>
      <c r="O53" s="415" t="e">
        <v>#N/A</v>
      </c>
      <c r="P53" s="440" t="e">
        <v>#N/A</v>
      </c>
      <c r="Q53" s="292"/>
      <c r="R53" s="292"/>
      <c r="S53" s="900" t="s">
        <v>94</v>
      </c>
      <c r="T53" s="901"/>
      <c r="U53" s="901"/>
      <c r="V53" s="902"/>
      <c r="W53" s="307"/>
    </row>
    <row r="54" spans="1:23" x14ac:dyDescent="0.25">
      <c r="A54" s="292"/>
      <c r="B54" s="950"/>
      <c r="C54" s="951"/>
      <c r="D54" s="951"/>
      <c r="E54" s="296"/>
      <c r="F54" s="620" t="s">
        <v>99</v>
      </c>
      <c r="G54" s="621"/>
      <c r="H54" s="415">
        <v>0</v>
      </c>
      <c r="I54" s="415">
        <v>0</v>
      </c>
      <c r="J54" s="415">
        <v>0</v>
      </c>
      <c r="K54" s="415">
        <v>0</v>
      </c>
      <c r="L54" s="415">
        <v>0</v>
      </c>
      <c r="M54" s="415">
        <v>0</v>
      </c>
      <c r="N54" s="415">
        <v>0</v>
      </c>
      <c r="O54" s="415">
        <v>0</v>
      </c>
      <c r="P54" s="440" t="e">
        <v>#N/A</v>
      </c>
      <c r="Q54" s="292"/>
      <c r="R54" s="292"/>
      <c r="S54" s="900"/>
      <c r="T54" s="901"/>
      <c r="U54" s="901"/>
      <c r="V54" s="902"/>
      <c r="W54" s="307"/>
    </row>
    <row r="55" spans="1:23" x14ac:dyDescent="0.25">
      <c r="A55" s="292"/>
      <c r="B55" s="280" t="s">
        <v>64</v>
      </c>
      <c r="C55" s="281" t="s">
        <v>101</v>
      </c>
      <c r="D55" s="281"/>
      <c r="E55" s="292"/>
      <c r="F55" s="620" t="s">
        <v>100</v>
      </c>
      <c r="G55" s="621"/>
      <c r="H55" s="415">
        <v>-0.125</v>
      </c>
      <c r="I55" s="415">
        <v>-0.125</v>
      </c>
      <c r="J55" s="415">
        <v>-0.25</v>
      </c>
      <c r="K55" s="415">
        <v>-0.25</v>
      </c>
      <c r="L55" s="415">
        <v>-0.25</v>
      </c>
      <c r="M55" s="415">
        <v>-0.5</v>
      </c>
      <c r="N55" s="415">
        <v>-0.625</v>
      </c>
      <c r="O55" s="415" t="e">
        <v>#N/A</v>
      </c>
      <c r="P55" s="440" t="e">
        <v>#N/A</v>
      </c>
      <c r="Q55" s="292"/>
      <c r="R55" s="292"/>
      <c r="S55" s="903" t="s">
        <v>103</v>
      </c>
      <c r="T55" s="905"/>
      <c r="U55" s="280" t="s">
        <v>104</v>
      </c>
      <c r="V55" s="281" t="s">
        <v>105</v>
      </c>
      <c r="W55" s="307"/>
    </row>
    <row r="56" spans="1:23" ht="15.75" thickBot="1" x14ac:dyDescent="0.3">
      <c r="A56" s="292"/>
      <c r="B56" s="27" t="s">
        <v>106</v>
      </c>
      <c r="C56" s="28">
        <v>-0.25</v>
      </c>
      <c r="D56" s="28"/>
      <c r="E56" s="297"/>
      <c r="F56" s="906" t="s">
        <v>58</v>
      </c>
      <c r="G56" s="907"/>
      <c r="H56" s="907"/>
      <c r="I56" s="907"/>
      <c r="J56" s="907"/>
      <c r="K56" s="907"/>
      <c r="L56" s="907"/>
      <c r="M56" s="907"/>
      <c r="N56" s="907"/>
      <c r="O56" s="907"/>
      <c r="P56" s="907"/>
      <c r="Q56" s="292"/>
      <c r="R56" s="292"/>
      <c r="S56" s="29" t="s">
        <v>108</v>
      </c>
      <c r="T56" s="30">
        <v>101.5</v>
      </c>
      <c r="U56" s="31" t="s">
        <v>109</v>
      </c>
      <c r="V56" s="32" t="s">
        <v>110</v>
      </c>
      <c r="W56" s="307"/>
    </row>
    <row r="57" spans="1:23" x14ac:dyDescent="0.25">
      <c r="A57" s="292"/>
      <c r="B57" s="614" t="s">
        <v>111</v>
      </c>
      <c r="C57" s="614">
        <v>-0.5</v>
      </c>
      <c r="D57" s="614"/>
      <c r="E57" s="292"/>
      <c r="F57" s="650" t="s">
        <v>102</v>
      </c>
      <c r="G57" s="651"/>
      <c r="H57" s="186">
        <v>-1</v>
      </c>
      <c r="I57" s="186">
        <v>-1</v>
      </c>
      <c r="J57" s="186">
        <v>-1</v>
      </c>
      <c r="K57" s="186">
        <v>-1</v>
      </c>
      <c r="L57" s="186">
        <v>-1</v>
      </c>
      <c r="M57" s="186">
        <v>-1</v>
      </c>
      <c r="N57" s="186">
        <v>-1</v>
      </c>
      <c r="O57" s="186" t="e">
        <v>#N/A</v>
      </c>
      <c r="P57" s="441" t="e">
        <v>#N/A</v>
      </c>
      <c r="Q57" s="298"/>
      <c r="R57" s="292"/>
      <c r="S57" s="29" t="s">
        <v>90</v>
      </c>
      <c r="T57" s="33">
        <v>100.5</v>
      </c>
      <c r="U57" s="31" t="s">
        <v>113</v>
      </c>
      <c r="V57" s="32" t="s">
        <v>114</v>
      </c>
      <c r="W57" s="307"/>
    </row>
    <row r="58" spans="1:23" x14ac:dyDescent="0.25">
      <c r="A58" s="292"/>
      <c r="B58" s="946" t="s">
        <v>115</v>
      </c>
      <c r="C58" s="947"/>
      <c r="D58" s="947"/>
      <c r="E58" s="292"/>
      <c r="F58" s="622" t="s">
        <v>107</v>
      </c>
      <c r="G58" s="623"/>
      <c r="H58" s="67">
        <v>-1.75</v>
      </c>
      <c r="I58" s="67">
        <v>-1.75</v>
      </c>
      <c r="J58" s="67">
        <v>-1.75</v>
      </c>
      <c r="K58" s="67">
        <v>-1.75</v>
      </c>
      <c r="L58" s="67">
        <v>-1.75</v>
      </c>
      <c r="M58" s="67">
        <v>-1.75</v>
      </c>
      <c r="N58" s="67">
        <v>-1.75</v>
      </c>
      <c r="O58" s="67" t="e">
        <v>#N/A</v>
      </c>
      <c r="P58" s="440" t="e">
        <v>#N/A</v>
      </c>
      <c r="Q58" s="298"/>
      <c r="R58" s="295"/>
      <c r="S58" s="29" t="s">
        <v>117</v>
      </c>
      <c r="T58" s="33">
        <v>100.5</v>
      </c>
      <c r="U58" s="31" t="s">
        <v>118</v>
      </c>
      <c r="V58" s="32" t="s">
        <v>119</v>
      </c>
      <c r="W58" s="307"/>
    </row>
    <row r="59" spans="1:23" ht="15" customHeight="1" x14ac:dyDescent="0.25">
      <c r="A59" s="292"/>
      <c r="B59" s="618" t="s">
        <v>949</v>
      </c>
      <c r="C59" s="619"/>
      <c r="D59" s="619"/>
      <c r="E59" s="292"/>
      <c r="F59" s="622" t="s">
        <v>112</v>
      </c>
      <c r="G59" s="623"/>
      <c r="H59" s="67">
        <v>-1</v>
      </c>
      <c r="I59" s="67">
        <v>-1</v>
      </c>
      <c r="J59" s="67">
        <v>-1</v>
      </c>
      <c r="K59" s="67">
        <v>-1</v>
      </c>
      <c r="L59" s="67">
        <v>-1</v>
      </c>
      <c r="M59" s="67">
        <v>-1</v>
      </c>
      <c r="N59" s="67">
        <v>-1</v>
      </c>
      <c r="O59" s="67">
        <v>-1</v>
      </c>
      <c r="P59" s="440" t="e">
        <v>#N/A</v>
      </c>
      <c r="Q59" s="298"/>
      <c r="R59" s="295"/>
      <c r="S59" s="29" t="s">
        <v>122</v>
      </c>
      <c r="T59" s="33">
        <v>100</v>
      </c>
      <c r="U59" s="31" t="s">
        <v>123</v>
      </c>
      <c r="V59" s="34" t="s">
        <v>124</v>
      </c>
      <c r="W59" s="307"/>
    </row>
    <row r="60" spans="1:23" ht="15" customHeight="1" x14ac:dyDescent="0.25">
      <c r="A60" s="292"/>
      <c r="B60" s="618"/>
      <c r="C60" s="619"/>
      <c r="D60" s="619"/>
      <c r="E60" s="292"/>
      <c r="F60" s="622" t="s">
        <v>116</v>
      </c>
      <c r="G60" s="623"/>
      <c r="H60" s="67">
        <v>-0.25</v>
      </c>
      <c r="I60" s="67">
        <v>-0.25</v>
      </c>
      <c r="J60" s="67">
        <v>-0.25</v>
      </c>
      <c r="K60" s="67">
        <v>-0.25</v>
      </c>
      <c r="L60" s="67">
        <v>-0.25</v>
      </c>
      <c r="M60" s="67">
        <v>-0.75</v>
      </c>
      <c r="N60" s="67">
        <v>-0.75</v>
      </c>
      <c r="O60" s="67">
        <v>-0.75</v>
      </c>
      <c r="P60" s="440" t="e">
        <v>#N/A</v>
      </c>
      <c r="Q60" s="292"/>
      <c r="R60" s="292"/>
      <c r="S60" s="29" t="s">
        <v>126</v>
      </c>
      <c r="T60" s="33">
        <v>100</v>
      </c>
      <c r="U60" s="31" t="s">
        <v>127</v>
      </c>
      <c r="V60" s="34" t="s">
        <v>128</v>
      </c>
      <c r="W60" s="307"/>
    </row>
    <row r="61" spans="1:23" ht="15" customHeight="1" x14ac:dyDescent="0.25">
      <c r="A61" s="292"/>
      <c r="B61" s="618"/>
      <c r="C61" s="619"/>
      <c r="D61" s="619"/>
      <c r="E61" s="292"/>
      <c r="F61" s="622" t="s">
        <v>121</v>
      </c>
      <c r="G61" s="623"/>
      <c r="H61" s="67">
        <v>0.25</v>
      </c>
      <c r="I61" s="67">
        <v>0.125</v>
      </c>
      <c r="J61" s="67">
        <v>0.125</v>
      </c>
      <c r="K61" s="67">
        <v>0.125</v>
      </c>
      <c r="L61" s="67">
        <v>0.125</v>
      </c>
      <c r="M61" s="67">
        <v>0.125</v>
      </c>
      <c r="N61" s="67">
        <v>0.125</v>
      </c>
      <c r="O61" s="67">
        <v>6.25E-2</v>
      </c>
      <c r="P61" s="440" t="e">
        <v>#N/A</v>
      </c>
      <c r="Q61" s="292"/>
      <c r="R61" s="292"/>
      <c r="S61" s="29" t="s">
        <v>130</v>
      </c>
      <c r="T61" s="33">
        <v>100</v>
      </c>
      <c r="U61" s="31" t="s">
        <v>119</v>
      </c>
      <c r="V61" s="35">
        <v>4</v>
      </c>
      <c r="W61" s="307"/>
    </row>
    <row r="62" spans="1:23" x14ac:dyDescent="0.25">
      <c r="A62" s="292"/>
      <c r="B62" s="618"/>
      <c r="C62" s="619"/>
      <c r="D62" s="619"/>
      <c r="E62" s="292"/>
      <c r="F62" s="622" t="s">
        <v>125</v>
      </c>
      <c r="G62" s="623"/>
      <c r="H62" s="67">
        <v>0.375</v>
      </c>
      <c r="I62" s="67">
        <v>0.25</v>
      </c>
      <c r="J62" s="67">
        <v>0.25</v>
      </c>
      <c r="K62" s="67">
        <v>0.25</v>
      </c>
      <c r="L62" s="67">
        <v>0.25</v>
      </c>
      <c r="M62" s="67">
        <v>0.25</v>
      </c>
      <c r="N62" s="67">
        <v>0.25</v>
      </c>
      <c r="O62" s="67">
        <v>0.125</v>
      </c>
      <c r="P62" s="440" t="e">
        <v>#N/A</v>
      </c>
      <c r="Q62" s="292"/>
      <c r="R62" s="295"/>
      <c r="S62" s="29" t="s">
        <v>132</v>
      </c>
      <c r="T62" s="33">
        <v>101</v>
      </c>
      <c r="U62" s="282" t="s">
        <v>104</v>
      </c>
      <c r="V62" s="283" t="s">
        <v>101</v>
      </c>
      <c r="W62" s="307"/>
    </row>
    <row r="63" spans="1:23" ht="15" customHeight="1" x14ac:dyDescent="0.25">
      <c r="A63" s="292"/>
      <c r="B63" s="618"/>
      <c r="C63" s="619"/>
      <c r="D63" s="619"/>
      <c r="E63" s="292"/>
      <c r="F63" s="622" t="s">
        <v>129</v>
      </c>
      <c r="G63" s="623"/>
      <c r="H63" s="67">
        <v>0.75</v>
      </c>
      <c r="I63" s="67">
        <v>0.625</v>
      </c>
      <c r="J63" s="67">
        <v>0.625</v>
      </c>
      <c r="K63" s="67">
        <v>0.625</v>
      </c>
      <c r="L63" s="67">
        <v>0.625</v>
      </c>
      <c r="M63" s="67">
        <v>0.625</v>
      </c>
      <c r="N63" s="67">
        <v>0.625</v>
      </c>
      <c r="O63" s="67">
        <v>0.5</v>
      </c>
      <c r="P63" s="440" t="e">
        <v>#N/A</v>
      </c>
      <c r="Q63" s="304"/>
      <c r="R63" s="295"/>
      <c r="S63" s="29" t="s">
        <v>824</v>
      </c>
      <c r="T63" s="33">
        <v>101.5</v>
      </c>
      <c r="U63" s="37" t="s">
        <v>135</v>
      </c>
      <c r="V63" s="38">
        <v>0.25</v>
      </c>
      <c r="W63" s="307"/>
    </row>
    <row r="64" spans="1:23" x14ac:dyDescent="0.25">
      <c r="A64" s="292"/>
      <c r="B64" s="618"/>
      <c r="C64" s="619"/>
      <c r="D64" s="619"/>
      <c r="E64" s="292"/>
      <c r="F64" s="622" t="s">
        <v>131</v>
      </c>
      <c r="G64" s="623"/>
      <c r="H64" s="67">
        <v>-0.75</v>
      </c>
      <c r="I64" s="67">
        <v>-0.75</v>
      </c>
      <c r="J64" s="67">
        <v>-0.75</v>
      </c>
      <c r="K64" s="67">
        <v>-0.75</v>
      </c>
      <c r="L64" s="67">
        <v>-0.75</v>
      </c>
      <c r="M64" s="67">
        <v>-0.75</v>
      </c>
      <c r="N64" s="67">
        <v>-0.75</v>
      </c>
      <c r="O64" s="67">
        <v>-0.75</v>
      </c>
      <c r="P64" s="440" t="e">
        <v>#N/A</v>
      </c>
      <c r="Q64" s="305"/>
      <c r="R64" s="295"/>
      <c r="S64" s="29" t="s">
        <v>825</v>
      </c>
      <c r="T64" s="33">
        <v>102</v>
      </c>
      <c r="U64" s="37" t="s">
        <v>53</v>
      </c>
      <c r="V64" s="38">
        <v>0</v>
      </c>
      <c r="W64" s="307"/>
    </row>
    <row r="65" spans="1:34" x14ac:dyDescent="0.25">
      <c r="A65" s="292"/>
      <c r="B65" s="618"/>
      <c r="C65" s="619"/>
      <c r="D65" s="619"/>
      <c r="E65" s="292"/>
      <c r="F65" s="622" t="s">
        <v>133</v>
      </c>
      <c r="G65" s="623"/>
      <c r="H65" s="67">
        <v>0</v>
      </c>
      <c r="I65" s="67">
        <v>0</v>
      </c>
      <c r="J65" s="67">
        <v>0</v>
      </c>
      <c r="K65" s="67">
        <v>0</v>
      </c>
      <c r="L65" s="67">
        <v>0</v>
      </c>
      <c r="M65" s="67">
        <v>0</v>
      </c>
      <c r="N65" s="67">
        <v>0</v>
      </c>
      <c r="O65" s="67">
        <v>-0.25</v>
      </c>
      <c r="P65" s="440" t="e">
        <v>#N/A</v>
      </c>
      <c r="Q65" s="303"/>
      <c r="R65" s="292"/>
      <c r="S65" s="481" t="s">
        <v>134</v>
      </c>
      <c r="T65" s="482"/>
      <c r="U65" s="37" t="s">
        <v>140</v>
      </c>
      <c r="V65" s="38">
        <v>-0.5</v>
      </c>
      <c r="W65" s="307"/>
    </row>
    <row r="66" spans="1:34" ht="15.75" customHeight="1" x14ac:dyDescent="0.25">
      <c r="A66" s="292"/>
      <c r="B66" s="618"/>
      <c r="C66" s="619"/>
      <c r="D66" s="619"/>
      <c r="E66" s="292"/>
      <c r="F66" s="622" t="s">
        <v>136</v>
      </c>
      <c r="G66" s="623"/>
      <c r="H66" s="67">
        <v>0.375</v>
      </c>
      <c r="I66" s="67">
        <v>0.375</v>
      </c>
      <c r="J66" s="67">
        <v>0.375</v>
      </c>
      <c r="K66" s="67">
        <v>0.375</v>
      </c>
      <c r="L66" s="67">
        <v>0.375</v>
      </c>
      <c r="M66" s="67">
        <v>0.375</v>
      </c>
      <c r="N66" s="67">
        <v>0.375</v>
      </c>
      <c r="O66" s="67">
        <v>0.375</v>
      </c>
      <c r="P66" s="440" t="e">
        <v>#N/A</v>
      </c>
      <c r="Q66" s="303"/>
      <c r="R66" s="292"/>
      <c r="S66" s="29" t="s">
        <v>137</v>
      </c>
      <c r="T66" s="36">
        <v>99.75</v>
      </c>
      <c r="U66" s="41" t="s">
        <v>142</v>
      </c>
      <c r="V66" s="38">
        <v>0.25</v>
      </c>
      <c r="W66" s="292"/>
    </row>
    <row r="67" spans="1:34" ht="15.75" customHeight="1" x14ac:dyDescent="0.25">
      <c r="A67" s="292"/>
      <c r="B67" s="618"/>
      <c r="C67" s="619"/>
      <c r="D67" s="619"/>
      <c r="E67" s="292"/>
      <c r="F67" s="622" t="s">
        <v>138</v>
      </c>
      <c r="G67" s="623"/>
      <c r="H67" s="67">
        <v>0.625</v>
      </c>
      <c r="I67" s="67">
        <v>0.42499999999999999</v>
      </c>
      <c r="J67" s="67">
        <v>0.42499999999999999</v>
      </c>
      <c r="K67" s="67">
        <v>0.42499999999999999</v>
      </c>
      <c r="L67" s="67">
        <v>0.42499999999999999</v>
      </c>
      <c r="M67" s="67">
        <v>0.42499999999999999</v>
      </c>
      <c r="N67" s="67">
        <v>0.42499999999999999</v>
      </c>
      <c r="O67" s="67">
        <v>0.42499999999999999</v>
      </c>
      <c r="P67" s="440" t="e">
        <v>#N/A</v>
      </c>
      <c r="Q67" s="303"/>
      <c r="R67" s="292"/>
      <c r="S67" s="908" t="s">
        <v>139</v>
      </c>
      <c r="T67" s="919"/>
      <c r="U67" s="37" t="s">
        <v>144</v>
      </c>
      <c r="V67" s="38">
        <v>-0.5</v>
      </c>
      <c r="W67" s="292"/>
      <c r="Y67" s="3"/>
    </row>
    <row r="68" spans="1:34" ht="15.75" thickBot="1" x14ac:dyDescent="0.3">
      <c r="A68" s="292"/>
      <c r="B68" s="618"/>
      <c r="C68" s="619"/>
      <c r="D68" s="619"/>
      <c r="E68" s="292"/>
      <c r="F68" s="648" t="s">
        <v>141</v>
      </c>
      <c r="G68" s="649"/>
      <c r="H68" s="83">
        <v>1</v>
      </c>
      <c r="I68" s="83">
        <v>0.75</v>
      </c>
      <c r="J68" s="83">
        <v>0.75</v>
      </c>
      <c r="K68" s="83">
        <v>0.75</v>
      </c>
      <c r="L68" s="83">
        <v>0.75</v>
      </c>
      <c r="M68" s="83">
        <v>0.75</v>
      </c>
      <c r="N68" s="83">
        <v>0.75</v>
      </c>
      <c r="O68" s="83">
        <v>0.75</v>
      </c>
      <c r="P68" s="442" t="e">
        <v>#N/A</v>
      </c>
      <c r="Q68" s="292"/>
      <c r="R68" s="292"/>
      <c r="S68" s="39" t="s">
        <v>90</v>
      </c>
      <c r="T68" s="40">
        <v>6.99</v>
      </c>
      <c r="U68" s="37" t="s">
        <v>147</v>
      </c>
      <c r="V68" s="38">
        <v>0.25</v>
      </c>
      <c r="W68" s="292"/>
      <c r="Y68" s="3"/>
      <c r="AD68" s="3"/>
      <c r="AE68" s="3"/>
      <c r="AF68" s="3"/>
      <c r="AG68" s="3"/>
      <c r="AH68" s="3"/>
    </row>
    <row r="69" spans="1:34" x14ac:dyDescent="0.25">
      <c r="A69" s="292"/>
      <c r="B69" s="618"/>
      <c r="C69" s="619"/>
      <c r="D69" s="619"/>
      <c r="E69" s="292"/>
      <c r="F69" s="920" t="s">
        <v>143</v>
      </c>
      <c r="G69" s="921"/>
      <c r="H69" s="921"/>
      <c r="I69" s="921"/>
      <c r="J69" s="921"/>
      <c r="K69" s="921"/>
      <c r="L69" s="921"/>
      <c r="M69" s="921"/>
      <c r="N69" s="921"/>
      <c r="O69" s="921"/>
      <c r="P69" s="922"/>
      <c r="Q69" s="292"/>
      <c r="R69" s="292"/>
      <c r="S69" s="39" t="s">
        <v>122</v>
      </c>
      <c r="T69" s="40">
        <v>7.375</v>
      </c>
      <c r="U69" s="37" t="s">
        <v>150</v>
      </c>
      <c r="V69" s="38">
        <v>-0.5</v>
      </c>
      <c r="W69" s="292"/>
      <c r="X69" s="3"/>
      <c r="Y69" s="3"/>
      <c r="AD69" s="3"/>
      <c r="AE69" s="3"/>
      <c r="AF69" s="3"/>
      <c r="AG69" s="3"/>
      <c r="AH69" s="3"/>
    </row>
    <row r="70" spans="1:34" ht="15.75" customHeight="1" x14ac:dyDescent="0.25">
      <c r="A70" s="292"/>
      <c r="B70" s="618"/>
      <c r="C70" s="619"/>
      <c r="D70" s="619"/>
      <c r="E70" s="292"/>
      <c r="F70" s="622" t="s">
        <v>145</v>
      </c>
      <c r="G70" s="623"/>
      <c r="H70" s="415">
        <v>-0.25</v>
      </c>
      <c r="I70" s="415">
        <v>-0.25</v>
      </c>
      <c r="J70" s="415">
        <v>-0.5</v>
      </c>
      <c r="K70" s="415">
        <v>-0.5</v>
      </c>
      <c r="L70" s="415">
        <v>-0.5</v>
      </c>
      <c r="M70" s="415">
        <v>-0.5</v>
      </c>
      <c r="N70" s="415">
        <v>-0.5</v>
      </c>
      <c r="O70" s="415" t="e">
        <v>#N/A</v>
      </c>
      <c r="P70" s="440" t="e">
        <v>#N/A</v>
      </c>
      <c r="Q70" s="292"/>
      <c r="R70" s="292"/>
      <c r="S70" s="908" t="s">
        <v>146</v>
      </c>
      <c r="T70" s="919"/>
      <c r="U70" s="908" t="s">
        <v>163</v>
      </c>
      <c r="V70" s="909"/>
      <c r="W70" s="292"/>
      <c r="X70" s="3"/>
      <c r="Y70" s="3"/>
      <c r="AD70" s="3"/>
      <c r="AE70" s="3"/>
      <c r="AF70" s="3"/>
      <c r="AG70" s="3"/>
      <c r="AH70" s="3"/>
    </row>
    <row r="71" spans="1:34" ht="15" customHeight="1" x14ac:dyDescent="0.25">
      <c r="A71" s="292"/>
      <c r="B71" s="896" t="s">
        <v>153</v>
      </c>
      <c r="C71" s="897"/>
      <c r="D71" s="897"/>
      <c r="E71" s="292"/>
      <c r="F71" s="622" t="s">
        <v>148</v>
      </c>
      <c r="G71" s="623"/>
      <c r="H71" s="415">
        <v>-0.5</v>
      </c>
      <c r="I71" s="415">
        <v>-0.5</v>
      </c>
      <c r="J71" s="415">
        <v>-0.5</v>
      </c>
      <c r="K71" s="415">
        <v>-0.5</v>
      </c>
      <c r="L71" s="415">
        <v>-0.75</v>
      </c>
      <c r="M71" s="415">
        <v>-0.75</v>
      </c>
      <c r="N71" s="415">
        <v>-0.75</v>
      </c>
      <c r="O71" s="415">
        <v>-1</v>
      </c>
      <c r="P71" s="440" t="e">
        <v>#N/A</v>
      </c>
      <c r="Q71" s="292"/>
      <c r="R71" s="292"/>
      <c r="S71" s="639" t="s">
        <v>149</v>
      </c>
      <c r="T71" s="775"/>
      <c r="U71" s="639" t="s">
        <v>164</v>
      </c>
      <c r="V71" s="642"/>
      <c r="W71" s="292"/>
      <c r="X71" s="3"/>
      <c r="Y71" s="3"/>
      <c r="AD71" s="3"/>
      <c r="AE71" s="3"/>
      <c r="AF71" s="3"/>
      <c r="AG71" s="3"/>
      <c r="AH71" s="3"/>
    </row>
    <row r="72" spans="1:34" ht="17.25" customHeight="1" x14ac:dyDescent="0.25">
      <c r="A72" s="292"/>
      <c r="B72" s="624" t="s">
        <v>156</v>
      </c>
      <c r="C72" s="625"/>
      <c r="D72" s="625"/>
      <c r="E72" s="292"/>
      <c r="F72" s="622" t="s">
        <v>151</v>
      </c>
      <c r="G72" s="623"/>
      <c r="H72" s="415">
        <v>0</v>
      </c>
      <c r="I72" s="415">
        <v>0</v>
      </c>
      <c r="J72" s="415">
        <v>0</v>
      </c>
      <c r="K72" s="415">
        <v>0</v>
      </c>
      <c r="L72" s="415">
        <v>0</v>
      </c>
      <c r="M72" s="415">
        <v>0</v>
      </c>
      <c r="N72" s="415">
        <v>0</v>
      </c>
      <c r="O72" s="415">
        <v>-0.25</v>
      </c>
      <c r="P72" s="440">
        <v>-0.5</v>
      </c>
      <c r="Q72" s="292"/>
      <c r="R72" s="292"/>
      <c r="S72" s="639" t="s">
        <v>152</v>
      </c>
      <c r="T72" s="775"/>
      <c r="U72" s="639" t="s">
        <v>165</v>
      </c>
      <c r="V72" s="642"/>
      <c r="W72" s="292"/>
      <c r="X72" s="3"/>
      <c r="Y72" s="3"/>
      <c r="AD72" s="3"/>
      <c r="AE72" s="3"/>
      <c r="AF72" s="3"/>
      <c r="AG72" s="3"/>
      <c r="AH72" s="3"/>
    </row>
    <row r="73" spans="1:34" ht="15" customHeight="1" x14ac:dyDescent="0.25">
      <c r="A73" s="292"/>
      <c r="B73" s="896" t="s">
        <v>159</v>
      </c>
      <c r="C73" s="897"/>
      <c r="D73" s="897"/>
      <c r="E73" s="295"/>
      <c r="F73" s="622" t="s">
        <v>221</v>
      </c>
      <c r="G73" s="623"/>
      <c r="H73" s="415">
        <v>0</v>
      </c>
      <c r="I73" s="415">
        <v>0</v>
      </c>
      <c r="J73" s="415">
        <v>-0.125</v>
      </c>
      <c r="K73" s="415">
        <v>-0.25</v>
      </c>
      <c r="L73" s="415">
        <v>-0.25</v>
      </c>
      <c r="M73" s="415">
        <v>-0.25</v>
      </c>
      <c r="N73" s="415">
        <v>-0.25</v>
      </c>
      <c r="O73" s="415">
        <v>-0.5</v>
      </c>
      <c r="P73" s="440" t="e">
        <v>#N/A</v>
      </c>
      <c r="Q73" s="292"/>
      <c r="R73" s="292"/>
      <c r="S73" s="639" t="s">
        <v>155</v>
      </c>
      <c r="T73" s="775"/>
      <c r="U73" s="640" t="s">
        <v>167</v>
      </c>
      <c r="V73" s="762"/>
      <c r="W73" s="292"/>
      <c r="X73" s="3"/>
      <c r="Y73" s="3"/>
      <c r="AD73" s="3"/>
      <c r="AE73" s="3"/>
      <c r="AF73" s="3"/>
      <c r="AG73" s="3"/>
      <c r="AH73" s="3"/>
    </row>
    <row r="74" spans="1:34" ht="15" customHeight="1" x14ac:dyDescent="0.25">
      <c r="A74" s="292"/>
      <c r="B74" s="626" t="s">
        <v>664</v>
      </c>
      <c r="C74" s="626"/>
      <c r="D74" s="626"/>
      <c r="E74" s="295"/>
      <c r="F74" s="622" t="s">
        <v>228</v>
      </c>
      <c r="G74" s="623"/>
      <c r="H74" s="415">
        <v>-0.25</v>
      </c>
      <c r="I74" s="415">
        <v>-0.25</v>
      </c>
      <c r="J74" s="415">
        <v>-0.25</v>
      </c>
      <c r="K74" s="415">
        <v>-0.375</v>
      </c>
      <c r="L74" s="415">
        <v>-0.5</v>
      </c>
      <c r="M74" s="415">
        <v>-0.625</v>
      </c>
      <c r="N74" s="415">
        <v>-1</v>
      </c>
      <c r="O74" s="415" t="e">
        <v>#N/A</v>
      </c>
      <c r="P74" s="440" t="e">
        <v>#N/A</v>
      </c>
      <c r="Q74" s="292"/>
      <c r="R74" s="292"/>
      <c r="S74" s="639" t="s">
        <v>158</v>
      </c>
      <c r="T74" s="642"/>
      <c r="U74" s="285"/>
      <c r="V74" s="286"/>
      <c r="W74" s="292"/>
      <c r="X74" s="3"/>
      <c r="Y74" s="3"/>
      <c r="AD74" s="3"/>
      <c r="AE74" s="3"/>
      <c r="AF74" s="3"/>
      <c r="AG74" s="3"/>
      <c r="AH74" s="3"/>
    </row>
    <row r="75" spans="1:34" ht="15" customHeight="1" x14ac:dyDescent="0.25">
      <c r="A75" s="292"/>
      <c r="B75" s="626"/>
      <c r="C75" s="626"/>
      <c r="D75" s="626"/>
      <c r="E75" s="295"/>
      <c r="F75" s="622" t="s">
        <v>157</v>
      </c>
      <c r="G75" s="623"/>
      <c r="H75" s="415">
        <v>-2</v>
      </c>
      <c r="I75" s="415">
        <v>-2</v>
      </c>
      <c r="J75" s="415">
        <v>-2.5</v>
      </c>
      <c r="K75" s="415">
        <v>-2.5</v>
      </c>
      <c r="L75" s="415">
        <v>-2.5</v>
      </c>
      <c r="M75" s="415">
        <v>-2.5</v>
      </c>
      <c r="N75" s="415">
        <v>-2.75</v>
      </c>
      <c r="O75" s="415">
        <v>-3</v>
      </c>
      <c r="P75" s="440" t="e">
        <v>#N/A</v>
      </c>
      <c r="Q75" s="292"/>
      <c r="R75" s="292"/>
      <c r="S75" s="639" t="s">
        <v>161</v>
      </c>
      <c r="T75" s="642"/>
      <c r="U75" s="285"/>
      <c r="V75" s="286"/>
      <c r="W75" s="292"/>
      <c r="X75" s="3"/>
      <c r="Y75" s="3"/>
      <c r="AD75" s="3"/>
      <c r="AE75" s="3"/>
      <c r="AF75" s="3"/>
      <c r="AG75" s="3"/>
      <c r="AH75" s="3"/>
    </row>
    <row r="76" spans="1:34" ht="15" customHeight="1" thickBot="1" x14ac:dyDescent="0.3">
      <c r="A76" s="292"/>
      <c r="B76" s="626"/>
      <c r="C76" s="626"/>
      <c r="D76" s="626"/>
      <c r="E76" s="295"/>
      <c r="F76" s="622" t="s">
        <v>69</v>
      </c>
      <c r="G76" s="623"/>
      <c r="H76" s="415">
        <v>-0.5</v>
      </c>
      <c r="I76" s="415">
        <v>-0.5</v>
      </c>
      <c r="J76" s="415">
        <v>-0.5</v>
      </c>
      <c r="K76" s="415">
        <v>-0.5</v>
      </c>
      <c r="L76" s="415">
        <v>-0.5</v>
      </c>
      <c r="M76" s="415">
        <v>-0.5</v>
      </c>
      <c r="N76" s="415">
        <v>-0.5</v>
      </c>
      <c r="O76" s="415">
        <v>-0.5</v>
      </c>
      <c r="P76" s="440">
        <v>-0.5</v>
      </c>
      <c r="Q76" s="292"/>
      <c r="R76" s="292"/>
      <c r="S76" s="285"/>
      <c r="T76" s="285"/>
      <c r="U76" s="285"/>
      <c r="V76" s="286"/>
      <c r="W76" s="292"/>
      <c r="X76" s="3"/>
      <c r="Y76" s="3"/>
      <c r="AD76" s="3"/>
      <c r="AE76" s="3"/>
      <c r="AF76" s="3"/>
      <c r="AG76" s="3"/>
      <c r="AH76" s="3"/>
    </row>
    <row r="77" spans="1:34" ht="15" customHeight="1" x14ac:dyDescent="0.25">
      <c r="A77" s="292"/>
      <c r="B77" s="626"/>
      <c r="C77" s="626"/>
      <c r="D77" s="626"/>
      <c r="E77" s="295"/>
      <c r="F77" s="908" t="s">
        <v>33</v>
      </c>
      <c r="G77" s="909"/>
      <c r="H77" s="909"/>
      <c r="I77" s="909"/>
      <c r="J77" s="909"/>
      <c r="K77" s="909"/>
      <c r="L77" s="909"/>
      <c r="M77" s="909"/>
      <c r="N77" s="909"/>
      <c r="O77" s="909"/>
      <c r="P77" s="910"/>
      <c r="Q77" s="292"/>
      <c r="R77" s="292"/>
      <c r="S77" s="920" t="s">
        <v>765</v>
      </c>
      <c r="T77" s="921"/>
      <c r="U77" s="921"/>
      <c r="V77" s="922"/>
      <c r="W77" s="292"/>
      <c r="X77" s="3"/>
      <c r="Y77" s="3"/>
      <c r="AD77" s="3"/>
      <c r="AE77" s="3"/>
      <c r="AF77" s="3"/>
      <c r="AG77" s="3"/>
      <c r="AH77" s="3"/>
    </row>
    <row r="78" spans="1:34" ht="15" customHeight="1" x14ac:dyDescent="0.25">
      <c r="A78" s="292"/>
      <c r="B78" s="626"/>
      <c r="C78" s="626"/>
      <c r="D78" s="626"/>
      <c r="E78" s="295"/>
      <c r="F78" s="622" t="s">
        <v>34</v>
      </c>
      <c r="G78" s="623"/>
      <c r="H78" s="415">
        <v>0</v>
      </c>
      <c r="I78" s="415">
        <v>0</v>
      </c>
      <c r="J78" s="415">
        <v>0</v>
      </c>
      <c r="K78" s="415">
        <v>0</v>
      </c>
      <c r="L78" s="415">
        <v>0</v>
      </c>
      <c r="M78" s="415">
        <v>0</v>
      </c>
      <c r="N78" s="415">
        <v>0</v>
      </c>
      <c r="O78" s="415">
        <v>0</v>
      </c>
      <c r="P78" s="440">
        <v>0</v>
      </c>
      <c r="Q78" s="292"/>
      <c r="R78" s="292"/>
      <c r="S78" s="779" t="str">
        <f>'Feed(WS)'!$U$161</f>
        <v>Tier 1 States</v>
      </c>
      <c r="T78" s="680" t="str">
        <f>'Feed(WS)'!$V$161</f>
        <v>AZ, CA, CO, CT, GA, HI, MA, MD, NJ, NV, OR, SC, UT, VA, WA</v>
      </c>
      <c r="U78" s="682"/>
      <c r="V78" s="678">
        <f>'Feed(WS)'!$W$161</f>
        <v>0</v>
      </c>
      <c r="W78" s="292"/>
      <c r="X78" s="3"/>
      <c r="Y78" s="3"/>
      <c r="AD78" s="3"/>
      <c r="AE78" s="3"/>
      <c r="AF78" s="3"/>
      <c r="AG78" s="3"/>
      <c r="AH78" s="3"/>
    </row>
    <row r="79" spans="1:34" ht="15" customHeight="1" x14ac:dyDescent="0.25">
      <c r="A79" s="292"/>
      <c r="B79" s="626"/>
      <c r="C79" s="626"/>
      <c r="D79" s="626"/>
      <c r="E79" s="295"/>
      <c r="F79" s="622" t="s">
        <v>166</v>
      </c>
      <c r="G79" s="623"/>
      <c r="H79" s="415">
        <v>-1.25</v>
      </c>
      <c r="I79" s="415">
        <v>-1.25</v>
      </c>
      <c r="J79" s="415">
        <v>-1.25</v>
      </c>
      <c r="K79" s="415">
        <v>-1.25</v>
      </c>
      <c r="L79" s="415">
        <v>-1.25</v>
      </c>
      <c r="M79" s="415">
        <v>-1.25</v>
      </c>
      <c r="N79" s="415">
        <v>-1.5</v>
      </c>
      <c r="O79" s="415">
        <v>-2</v>
      </c>
      <c r="P79" s="440" t="e">
        <v>#N/A</v>
      </c>
      <c r="Q79" s="292"/>
      <c r="R79" s="292"/>
      <c r="S79" s="781"/>
      <c r="T79" s="683"/>
      <c r="U79" s="685"/>
      <c r="V79" s="679"/>
      <c r="W79" s="292"/>
      <c r="AD79" s="3"/>
      <c r="AE79" s="3"/>
      <c r="AF79" s="3"/>
      <c r="AG79" s="3"/>
      <c r="AH79" s="3"/>
    </row>
    <row r="80" spans="1:34" ht="15" customHeight="1" x14ac:dyDescent="0.25">
      <c r="A80" s="292"/>
      <c r="B80" s="944"/>
      <c r="C80" s="945"/>
      <c r="D80" s="945"/>
      <c r="E80" s="295"/>
      <c r="F80" s="622" t="s">
        <v>168</v>
      </c>
      <c r="G80" s="623"/>
      <c r="H80" s="415">
        <v>-1.75</v>
      </c>
      <c r="I80" s="415">
        <v>-1.75</v>
      </c>
      <c r="J80" s="415">
        <v>-1.75</v>
      </c>
      <c r="K80" s="415">
        <v>-1.75</v>
      </c>
      <c r="L80" s="415">
        <v>-1.75</v>
      </c>
      <c r="M80" s="415">
        <v>-2</v>
      </c>
      <c r="N80" s="415">
        <v>-2</v>
      </c>
      <c r="O80" s="415" t="e">
        <v>#N/A</v>
      </c>
      <c r="P80" s="440" t="e">
        <v>#N/A</v>
      </c>
      <c r="Q80" s="292"/>
      <c r="R80" s="292"/>
      <c r="S80" s="779" t="str">
        <f>'Feed(WS)'!$U$162</f>
        <v>Tier 2 States</v>
      </c>
      <c r="T80" s="680" t="str">
        <f>'Feed(WS)'!$V$162</f>
        <v>DC, FL, ID, IL, IN, LA, MI, MN, MO, NC, OH, OK, PA, RI, TN, TX</v>
      </c>
      <c r="U80" s="682"/>
      <c r="V80" s="678">
        <f>'Feed(WS)'!$W$162</f>
        <v>0.15</v>
      </c>
      <c r="W80" s="292"/>
    </row>
    <row r="81" spans="1:23" ht="15" customHeight="1" x14ac:dyDescent="0.25">
      <c r="A81" s="292"/>
      <c r="B81" s="944"/>
      <c r="C81" s="945"/>
      <c r="D81" s="945"/>
      <c r="E81" s="295"/>
      <c r="F81" s="622" t="s">
        <v>169</v>
      </c>
      <c r="G81" s="623"/>
      <c r="H81" s="415">
        <v>-1.75</v>
      </c>
      <c r="I81" s="415">
        <v>-1.75</v>
      </c>
      <c r="J81" s="415">
        <v>-1.75</v>
      </c>
      <c r="K81" s="415">
        <v>-1.75</v>
      </c>
      <c r="L81" s="415">
        <v>-1.75</v>
      </c>
      <c r="M81" s="415">
        <v>-2</v>
      </c>
      <c r="N81" s="415">
        <v>-2</v>
      </c>
      <c r="O81" s="415" t="e">
        <v>#N/A</v>
      </c>
      <c r="P81" s="440" t="e">
        <v>#N/A</v>
      </c>
      <c r="Q81" s="292"/>
      <c r="R81" s="292"/>
      <c r="S81" s="781"/>
      <c r="T81" s="683"/>
      <c r="U81" s="685"/>
      <c r="V81" s="679"/>
      <c r="W81" s="292"/>
    </row>
    <row r="82" spans="1:23" ht="15" customHeight="1" x14ac:dyDescent="0.25">
      <c r="A82" s="292"/>
      <c r="B82" s="944"/>
      <c r="C82" s="945"/>
      <c r="D82" s="945"/>
      <c r="E82" s="295"/>
      <c r="F82" s="622" t="s">
        <v>170</v>
      </c>
      <c r="G82" s="623"/>
      <c r="H82" s="415">
        <v>0</v>
      </c>
      <c r="I82" s="415">
        <v>0</v>
      </c>
      <c r="J82" s="415">
        <v>0</v>
      </c>
      <c r="K82" s="415">
        <v>0</v>
      </c>
      <c r="L82" s="415">
        <v>0</v>
      </c>
      <c r="M82" s="415">
        <v>0</v>
      </c>
      <c r="N82" s="415">
        <v>0</v>
      </c>
      <c r="O82" s="415">
        <v>0</v>
      </c>
      <c r="P82" s="440">
        <v>0</v>
      </c>
      <c r="Q82" s="292"/>
      <c r="R82" s="292"/>
      <c r="S82" s="779" t="str">
        <f>'Feed(WS)'!$U$163</f>
        <v>Tier 3 States</v>
      </c>
      <c r="T82" s="680" t="str">
        <f>'Feed(WS)'!$V$163</f>
        <v>AK, AL, AR, DE, IA, KS, KY, ME, MS, MT, ND, NE, NH, NM, SD, VT WI, WV, WY</v>
      </c>
      <c r="U82" s="682"/>
      <c r="V82" s="678">
        <f>'Feed(WS)'!$W$163</f>
        <v>0.25</v>
      </c>
      <c r="W82" s="292"/>
    </row>
    <row r="83" spans="1:23" ht="15" customHeight="1" thickBot="1" x14ac:dyDescent="0.3">
      <c r="A83" s="292"/>
      <c r="B83" s="944"/>
      <c r="C83" s="945"/>
      <c r="D83" s="945"/>
      <c r="E83" s="295"/>
      <c r="F83" s="906" t="s">
        <v>36</v>
      </c>
      <c r="G83" s="907"/>
      <c r="H83" s="907"/>
      <c r="I83" s="907"/>
      <c r="J83" s="907"/>
      <c r="K83" s="907"/>
      <c r="L83" s="907"/>
      <c r="M83" s="907"/>
      <c r="N83" s="907"/>
      <c r="O83" s="907"/>
      <c r="P83" s="954"/>
      <c r="Q83" s="292"/>
      <c r="R83" s="292"/>
      <c r="S83" s="780"/>
      <c r="T83" s="777"/>
      <c r="U83" s="778"/>
      <c r="V83" s="776"/>
      <c r="W83" s="292"/>
    </row>
    <row r="84" spans="1:23" ht="15" customHeight="1" x14ac:dyDescent="0.25">
      <c r="A84" s="292"/>
      <c r="B84" s="944"/>
      <c r="C84" s="945"/>
      <c r="D84" s="945"/>
      <c r="E84" s="295"/>
      <c r="F84" s="633" t="s">
        <v>171</v>
      </c>
      <c r="G84" s="634"/>
      <c r="H84" s="443">
        <v>-1.5</v>
      </c>
      <c r="I84" s="443">
        <v>-1.5</v>
      </c>
      <c r="J84" s="443">
        <v>-2</v>
      </c>
      <c r="K84" s="443">
        <v>-2</v>
      </c>
      <c r="L84" s="443">
        <v>-2</v>
      </c>
      <c r="M84" s="443">
        <v>-2</v>
      </c>
      <c r="N84" s="443" t="e">
        <v>#N/A</v>
      </c>
      <c r="O84" s="443" t="e">
        <v>#N/A</v>
      </c>
      <c r="P84" s="441" t="e">
        <v>#N/A</v>
      </c>
      <c r="Q84" s="292"/>
      <c r="R84" s="292"/>
      <c r="S84" s="598"/>
      <c r="T84" s="285"/>
      <c r="U84" s="285"/>
      <c r="V84" s="286"/>
      <c r="W84" s="292"/>
    </row>
    <row r="85" spans="1:23" ht="15" customHeight="1" x14ac:dyDescent="0.25">
      <c r="A85" s="292"/>
      <c r="B85" s="944"/>
      <c r="C85" s="945"/>
      <c r="D85" s="945"/>
      <c r="E85" s="295"/>
      <c r="F85" s="631" t="s">
        <v>172</v>
      </c>
      <c r="G85" s="632"/>
      <c r="H85" s="415">
        <v>-1</v>
      </c>
      <c r="I85" s="415">
        <v>-1</v>
      </c>
      <c r="J85" s="415">
        <v>-1</v>
      </c>
      <c r="K85" s="415">
        <v>-1.25</v>
      </c>
      <c r="L85" s="415">
        <v>-1.25</v>
      </c>
      <c r="M85" s="415">
        <v>-1.25</v>
      </c>
      <c r="N85" s="415">
        <v>-1.5</v>
      </c>
      <c r="O85" s="415" t="e">
        <v>#N/A</v>
      </c>
      <c r="P85" s="440" t="e">
        <v>#N/A</v>
      </c>
      <c r="Q85" s="292"/>
      <c r="R85" s="292"/>
      <c r="S85" s="289"/>
      <c r="T85" s="285"/>
      <c r="U85" s="285"/>
      <c r="V85" s="286"/>
      <c r="W85" s="292"/>
    </row>
    <row r="86" spans="1:23" ht="15" customHeight="1" x14ac:dyDescent="0.25">
      <c r="A86" s="292"/>
      <c r="B86" s="944"/>
      <c r="C86" s="945"/>
      <c r="D86" s="945"/>
      <c r="E86" s="295"/>
      <c r="F86" s="631" t="s">
        <v>173</v>
      </c>
      <c r="G86" s="632"/>
      <c r="H86" s="415">
        <v>-0.25</v>
      </c>
      <c r="I86" s="415">
        <v>-0.25</v>
      </c>
      <c r="J86" s="415">
        <v>-0.25</v>
      </c>
      <c r="K86" s="415">
        <v>-0.25</v>
      </c>
      <c r="L86" s="415">
        <v>-0.25</v>
      </c>
      <c r="M86" s="415">
        <v>-0.5</v>
      </c>
      <c r="N86" s="415">
        <v>-0.5</v>
      </c>
      <c r="O86" s="415">
        <v>-0.5</v>
      </c>
      <c r="P86" s="440">
        <v>-0.5</v>
      </c>
      <c r="Q86" s="292"/>
      <c r="R86" s="292"/>
      <c r="S86" s="289"/>
      <c r="T86" s="285"/>
      <c r="U86" s="285"/>
      <c r="V86" s="286"/>
      <c r="W86" s="292"/>
    </row>
    <row r="87" spans="1:23" ht="15" customHeight="1" x14ac:dyDescent="0.25">
      <c r="A87" s="292"/>
      <c r="B87" s="944"/>
      <c r="C87" s="945"/>
      <c r="D87" s="945"/>
      <c r="E87" s="295"/>
      <c r="F87" s="635" t="s">
        <v>174</v>
      </c>
      <c r="G87" s="636"/>
      <c r="H87" s="444">
        <v>0</v>
      </c>
      <c r="I87" s="444">
        <v>0</v>
      </c>
      <c r="J87" s="444">
        <v>0</v>
      </c>
      <c r="K87" s="444">
        <v>0</v>
      </c>
      <c r="L87" s="444">
        <v>0</v>
      </c>
      <c r="M87" s="444">
        <v>0</v>
      </c>
      <c r="N87" s="444">
        <v>0</v>
      </c>
      <c r="O87" s="444">
        <v>0</v>
      </c>
      <c r="P87" s="445">
        <v>0</v>
      </c>
      <c r="Q87" s="292"/>
      <c r="R87" s="292"/>
      <c r="S87" s="289"/>
      <c r="T87" s="285"/>
      <c r="U87" s="285"/>
      <c r="V87" s="286"/>
      <c r="W87" s="292"/>
    </row>
    <row r="88" spans="1:23" ht="15" customHeight="1" thickBot="1" x14ac:dyDescent="0.3">
      <c r="A88" s="292"/>
      <c r="B88" s="944"/>
      <c r="C88" s="945"/>
      <c r="D88" s="945"/>
      <c r="E88" s="295"/>
      <c r="F88" s="290"/>
      <c r="G88" s="287"/>
      <c r="H88" s="287"/>
      <c r="I88" s="287"/>
      <c r="J88" s="287"/>
      <c r="K88" s="287"/>
      <c r="L88" s="287"/>
      <c r="M88" s="287"/>
      <c r="N88" s="287"/>
      <c r="O88" s="287"/>
      <c r="P88" s="288"/>
      <c r="Q88" s="292"/>
      <c r="R88" s="292"/>
      <c r="S88" s="289"/>
      <c r="T88" s="285"/>
      <c r="U88" s="285"/>
      <c r="V88" s="286"/>
      <c r="W88" s="292"/>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xarRrWTpFgigrw9lZ5fIvWRYxpJ3mOAPSWxlv2h0+8uvOacM9BZa3dfFyQSuVYeZSNyiyeTN1f3cfvTyV956UA==" saltValue="8IteHR1hQhaPt/eHDzmeOA==" spinCount="100000" sheet="1" objects="1" scenarios="1"/>
  <dataConsolidate/>
  <mergeCells count="174">
    <mergeCell ref="B1:E1"/>
    <mergeCell ref="C2:E2"/>
    <mergeCell ref="C3:E3"/>
    <mergeCell ref="C4:E4"/>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 ref="F36:G36"/>
    <mergeCell ref="S36:U36"/>
    <mergeCell ref="F85:G85"/>
    <mergeCell ref="B80:D88"/>
    <mergeCell ref="B51:D51"/>
    <mergeCell ref="B52:D52"/>
    <mergeCell ref="B53:D54"/>
    <mergeCell ref="B58:D58"/>
    <mergeCell ref="B59:D70"/>
    <mergeCell ref="B71:D71"/>
    <mergeCell ref="B72:D72"/>
    <mergeCell ref="B73:D73"/>
    <mergeCell ref="B74:D79"/>
    <mergeCell ref="F77:P77"/>
    <mergeCell ref="F78:G78"/>
    <mergeCell ref="F82:G82"/>
    <mergeCell ref="F57:G57"/>
    <mergeCell ref="F59:G59"/>
    <mergeCell ref="F60:G60"/>
    <mergeCell ref="F61:G61"/>
    <mergeCell ref="F62:G62"/>
    <mergeCell ref="F63:G63"/>
    <mergeCell ref="F75:G75"/>
    <mergeCell ref="F72:G72"/>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31:G31"/>
    <mergeCell ref="S27:T27"/>
    <mergeCell ref="S31:T31"/>
    <mergeCell ref="S24:T24"/>
    <mergeCell ref="S25:T25"/>
    <mergeCell ref="F25:P25"/>
    <mergeCell ref="S21:T21"/>
    <mergeCell ref="S23:T23"/>
    <mergeCell ref="F27:G27"/>
    <mergeCell ref="F73:G73"/>
    <mergeCell ref="F69:P69"/>
    <mergeCell ref="F54:G54"/>
    <mergeCell ref="F67:G67"/>
    <mergeCell ref="F70:G70"/>
    <mergeCell ref="F71:G71"/>
    <mergeCell ref="S28:T28"/>
    <mergeCell ref="F29:G29"/>
    <mergeCell ref="S29:T29"/>
    <mergeCell ref="F30:G30"/>
    <mergeCell ref="S30:T30"/>
    <mergeCell ref="S32:T32"/>
    <mergeCell ref="F33:G33"/>
    <mergeCell ref="S33:T33"/>
    <mergeCell ref="S37:U37"/>
    <mergeCell ref="S38:U38"/>
    <mergeCell ref="F39:G39"/>
    <mergeCell ref="S39:U39"/>
    <mergeCell ref="F38:P38"/>
    <mergeCell ref="F37:G37"/>
    <mergeCell ref="S34:T34"/>
    <mergeCell ref="F35:G35"/>
    <mergeCell ref="S35:T35"/>
    <mergeCell ref="F32:P32"/>
    <mergeCell ref="S74:T74"/>
    <mergeCell ref="F74:G74"/>
    <mergeCell ref="F66:G66"/>
    <mergeCell ref="F43:G43"/>
    <mergeCell ref="F44:G44"/>
    <mergeCell ref="F45:G45"/>
    <mergeCell ref="F49:G49"/>
    <mergeCell ref="F50:P50"/>
    <mergeCell ref="S47:T47"/>
    <mergeCell ref="F48:G48"/>
    <mergeCell ref="S43:T43"/>
    <mergeCell ref="S44:T44"/>
    <mergeCell ref="S45:T45"/>
    <mergeCell ref="S46:T46"/>
    <mergeCell ref="S50:V52"/>
    <mergeCell ref="S48:T48"/>
    <mergeCell ref="S49:T49"/>
    <mergeCell ref="U49:V49"/>
    <mergeCell ref="U73:V73"/>
    <mergeCell ref="F52:G52"/>
    <mergeCell ref="U70:V70"/>
    <mergeCell ref="U71:V71"/>
    <mergeCell ref="U72:V72"/>
    <mergeCell ref="S70:T70"/>
    <mergeCell ref="B6:D7"/>
    <mergeCell ref="B8:D8"/>
    <mergeCell ref="B9:D9"/>
    <mergeCell ref="F28:G28"/>
    <mergeCell ref="F41:G41"/>
    <mergeCell ref="S73:T73"/>
    <mergeCell ref="S53:V54"/>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F15:G15"/>
    <mergeCell ref="S15:T15"/>
    <mergeCell ref="F40:G40"/>
    <mergeCell ref="F42:G42"/>
    <mergeCell ref="U47:V47"/>
    <mergeCell ref="S40:U40"/>
    <mergeCell ref="S41:V41"/>
    <mergeCell ref="S42:V42"/>
    <mergeCell ref="U43:V43"/>
    <mergeCell ref="U46:V46"/>
    <mergeCell ref="S16:T16"/>
    <mergeCell ref="F17:G17"/>
    <mergeCell ref="S17:T17"/>
    <mergeCell ref="F18:G18"/>
    <mergeCell ref="S18:T18"/>
    <mergeCell ref="F26:G26"/>
    <mergeCell ref="S26:T26"/>
    <mergeCell ref="F20:G20"/>
    <mergeCell ref="S20:T20"/>
    <mergeCell ref="F21:P21"/>
    <mergeCell ref="S22:T22"/>
    <mergeCell ref="F23:G23"/>
    <mergeCell ref="F19:G19"/>
    <mergeCell ref="S19:T19"/>
  </mergeCells>
  <conditionalFormatting sqref="A6:A50">
    <cfRule type="containsText" dxfId="172" priority="54" operator="containsText" text="n/a">
      <formula>NOT(ISERROR(SEARCH("n/a",A6)))</formula>
    </cfRule>
  </conditionalFormatting>
  <conditionalFormatting sqref="B58:B59">
    <cfRule type="containsText" dxfId="171" priority="30" operator="containsText" text="n/a">
      <formula>NOT(ISERROR(SEARCH("n/a",B58)))</formula>
    </cfRule>
  </conditionalFormatting>
  <conditionalFormatting sqref="B71">
    <cfRule type="containsText" dxfId="170" priority="39" operator="containsText" text="n/a">
      <formula>NOT(ISERROR(SEARCH("n/a",B71)))</formula>
    </cfRule>
  </conditionalFormatting>
  <conditionalFormatting sqref="B73">
    <cfRule type="containsText" dxfId="169" priority="26" operator="containsText" text="n/a">
      <formula>NOT(ISERROR(SEARCH("n/a",B73)))</formula>
    </cfRule>
  </conditionalFormatting>
  <conditionalFormatting sqref="B8">
    <cfRule type="containsText" dxfId="168" priority="63" operator="containsText" text="n/a">
      <formula>NOT(ISERROR(SEARCH("n/a",B8)))</formula>
    </cfRule>
  </conditionalFormatting>
  <conditionalFormatting sqref="B51:B52">
    <cfRule type="containsText" dxfId="167" priority="28" operator="containsText" text="n/a">
      <formula>NOT(ISERROR(SEARCH("n/a",B51)))</formula>
    </cfRule>
  </conditionalFormatting>
  <conditionalFormatting sqref="B55:D55">
    <cfRule type="containsText" dxfId="166" priority="40" operator="containsText" text="n/a">
      <formula>NOT(ISERROR(SEARCH("n/a",B55)))</formula>
    </cfRule>
  </conditionalFormatting>
  <conditionalFormatting sqref="B10:D10">
    <cfRule type="containsText" dxfId="165" priority="62" operator="containsText" text="n/a">
      <formula>NOT(ISERROR(SEARCH("n/a",B10)))</formula>
    </cfRule>
  </conditionalFormatting>
  <conditionalFormatting sqref="C13:D46">
    <cfRule type="containsErrors" dxfId="164" priority="65">
      <formula>ISERROR(C13)</formula>
    </cfRule>
  </conditionalFormatting>
  <conditionalFormatting sqref="F9:F10">
    <cfRule type="containsText" dxfId="163" priority="56" operator="containsText" text="n/a">
      <formula>NOT(ISERROR(SEARCH("n/a",F9)))</formula>
    </cfRule>
  </conditionalFormatting>
  <conditionalFormatting sqref="F21:F22">
    <cfRule type="containsText" dxfId="162" priority="33" operator="containsText" text="n/a">
      <formula>NOT(ISERROR(SEARCH("n/a",F21)))</formula>
    </cfRule>
  </conditionalFormatting>
  <conditionalFormatting sqref="F25">
    <cfRule type="containsText" dxfId="161" priority="47" operator="containsText" text="n/a">
      <formula>NOT(ISERROR(SEARCH("n/a",F25)))</formula>
    </cfRule>
  </conditionalFormatting>
  <conditionalFormatting sqref="F32">
    <cfRule type="containsText" dxfId="160" priority="46" operator="containsText" text="n/a">
      <formula>NOT(ISERROR(SEARCH("n/a",F32)))</formula>
    </cfRule>
  </conditionalFormatting>
  <conditionalFormatting sqref="F38">
    <cfRule type="containsText" dxfId="159" priority="45" operator="containsText" text="n/a">
      <formula>NOT(ISERROR(SEARCH("n/a",F38)))</formula>
    </cfRule>
  </conditionalFormatting>
  <conditionalFormatting sqref="F50">
    <cfRule type="containsText" dxfId="158" priority="44" operator="containsText" text="n/a">
      <formula>NOT(ISERROR(SEARCH("n/a",F50)))</formula>
    </cfRule>
  </conditionalFormatting>
  <conditionalFormatting sqref="F56">
    <cfRule type="containsText" dxfId="157" priority="27" operator="containsText" text="n/a">
      <formula>NOT(ISERROR(SEARCH("n/a",F56)))</formula>
    </cfRule>
  </conditionalFormatting>
  <conditionalFormatting sqref="F69">
    <cfRule type="containsText" dxfId="156" priority="43" operator="containsText" text="n/a">
      <formula>NOT(ISERROR(SEARCH("n/a",F69)))</formula>
    </cfRule>
  </conditionalFormatting>
  <conditionalFormatting sqref="F77">
    <cfRule type="containsText" dxfId="155" priority="42" operator="containsText" text="n/a">
      <formula>NOT(ISERROR(SEARCH("n/a",F77)))</formula>
    </cfRule>
  </conditionalFormatting>
  <conditionalFormatting sqref="F83">
    <cfRule type="containsText" dxfId="154" priority="41" operator="containsText" text="n/a">
      <formula>NOT(ISERROR(SEARCH("n/a",F83)))</formula>
    </cfRule>
  </conditionalFormatting>
  <conditionalFormatting sqref="F8:P8">
    <cfRule type="containsText" dxfId="153" priority="57" operator="containsText" text="n/a">
      <formula>NOT(ISERROR(SEARCH("n/a",F8)))</formula>
    </cfRule>
  </conditionalFormatting>
  <conditionalFormatting sqref="H10:P10">
    <cfRule type="containsText" dxfId="152" priority="55" operator="containsText" text="n/a">
      <formula>NOT(ISERROR(SEARCH("n/a",H10)))</formula>
    </cfRule>
  </conditionalFormatting>
  <conditionalFormatting sqref="K11:Q15 H11:J20 K16:O16 Q16:Q21 K17:N20">
    <cfRule type="containsErrors" dxfId="151" priority="66">
      <formula>ISERROR(H11)</formula>
    </cfRule>
  </conditionalFormatting>
  <conditionalFormatting sqref="Q9:Q10 K11:Q15 H11:J20 K16:O16 Q16:Q21 K17:N20">
    <cfRule type="containsText" dxfId="150" priority="64" operator="containsText" text="n/a">
      <formula>NOT(ISERROR(SEARCH("n/a",H9)))</formula>
    </cfRule>
  </conditionalFormatting>
  <conditionalFormatting sqref="S36:S39">
    <cfRule type="containsText" dxfId="149" priority="48" operator="containsText" text="Rate">
      <formula>NOT(ISERROR(SEARCH("Rate",S36)))</formula>
    </cfRule>
    <cfRule type="expression" dxfId="148" priority="49">
      <formula>Output_NetPrice_JM &lt; 99</formula>
    </cfRule>
    <cfRule type="expression" dxfId="147" priority="50">
      <formula>Output_NetPrice_ExpNR &lt; 99</formula>
    </cfRule>
  </conditionalFormatting>
  <conditionalFormatting sqref="S55">
    <cfRule type="containsText" dxfId="146" priority="38" operator="containsText" text="n/a">
      <formula>NOT(ISERROR(SEARCH("n/a",S55)))</formula>
    </cfRule>
  </conditionalFormatting>
  <conditionalFormatting sqref="S65">
    <cfRule type="containsText" dxfId="145" priority="37" operator="containsText" text="n/a">
      <formula>NOT(ISERROR(SEARCH("n/a",S65)))</formula>
    </cfRule>
  </conditionalFormatting>
  <conditionalFormatting sqref="S67">
    <cfRule type="containsText" dxfId="144" priority="36" operator="containsText" text="n/a">
      <formula>NOT(ISERROR(SEARCH("n/a",S67)))</formula>
    </cfRule>
  </conditionalFormatting>
  <conditionalFormatting sqref="S70">
    <cfRule type="containsText" dxfId="143" priority="35" operator="containsText" text="n/a">
      <formula>NOT(ISERROR(SEARCH("n/a",S70)))</formula>
    </cfRule>
  </conditionalFormatting>
  <conditionalFormatting sqref="U70">
    <cfRule type="containsText" dxfId="142" priority="34" operator="containsText" text="n/a">
      <formula>NOT(ISERROR(SEARCH("n/a",U70)))</formula>
    </cfRule>
  </conditionalFormatting>
  <conditionalFormatting sqref="S8:W8">
    <cfRule type="containsText" dxfId="141" priority="58" operator="containsText" text="n/a">
      <formula>NOT(ISERROR(SEARCH("n/a",S8)))</formula>
    </cfRule>
  </conditionalFormatting>
  <conditionalFormatting sqref="U55:V55">
    <cfRule type="containsText" dxfId="140" priority="32" operator="containsText" text="n/a">
      <formula>NOT(ISERROR(SEARCH("n/a",U55)))</formula>
    </cfRule>
  </conditionalFormatting>
  <conditionalFormatting sqref="U62:V62">
    <cfRule type="containsText" dxfId="139" priority="31" operator="containsText" text="n/a">
      <formula>NOT(ISERROR(SEARCH("n/a",U62)))</formula>
    </cfRule>
  </conditionalFormatting>
  <conditionalFormatting sqref="V36:V39">
    <cfRule type="containsText" dxfId="138" priority="51" operator="containsText" text="Rate">
      <formula>NOT(ISERROR(SEARCH("Rate",V36)))</formula>
    </cfRule>
    <cfRule type="expression" dxfId="137" priority="52">
      <formula>Output_NetPrice_JM &lt; 99</formula>
    </cfRule>
    <cfRule type="expression" dxfId="136" priority="53">
      <formula>Output_NetPrice_ExpNR &lt; 99</formula>
    </cfRule>
  </conditionalFormatting>
  <conditionalFormatting sqref="U10">
    <cfRule type="containsText" dxfId="135" priority="20" operator="containsText" text="Rate">
      <formula>NOT(ISERROR(SEARCH("Rate",U10)))</formula>
    </cfRule>
    <cfRule type="expression" dxfId="134" priority="21">
      <formula>Output_NetPrice_JM &lt; 99</formula>
    </cfRule>
    <cfRule type="expression" dxfId="133" priority="22">
      <formula>Output_NetPrice_ExpNR &lt; 99</formula>
    </cfRule>
  </conditionalFormatting>
  <conditionalFormatting sqref="V12:V35">
    <cfRule type="expression" dxfId="132" priority="18">
      <formula>V10&lt;0</formula>
    </cfRule>
    <cfRule type="containsErrors" dxfId="131" priority="19">
      <formula>ISERROR(V12)</formula>
    </cfRule>
  </conditionalFormatting>
  <conditionalFormatting sqref="S43:S46">
    <cfRule type="containsText" dxfId="130" priority="15" operator="containsText" text="Rate">
      <formula>NOT(ISERROR(SEARCH("Rate",S43)))</formula>
    </cfRule>
    <cfRule type="expression" dxfId="129" priority="16">
      <formula>Output_NetPrice_JM &lt; 99</formula>
    </cfRule>
    <cfRule type="expression" dxfId="128" priority="17">
      <formula>Output_NetPrice_ExpNR &lt; 99</formula>
    </cfRule>
  </conditionalFormatting>
  <conditionalFormatting sqref="U43:U45">
    <cfRule type="containsText" dxfId="127" priority="12" operator="containsText" text="Rate">
      <formula>NOT(ISERROR(SEARCH("Rate",U43)))</formula>
    </cfRule>
    <cfRule type="expression" dxfId="126" priority="13">
      <formula>Output_NetPrice_JM &lt; 99</formula>
    </cfRule>
    <cfRule type="expression" dxfId="125" priority="14">
      <formula>Output_NetPrice_ExpNR &lt; 99</formula>
    </cfRule>
  </conditionalFormatting>
  <conditionalFormatting sqref="V44:V45">
    <cfRule type="containsText" dxfId="124" priority="9" operator="containsText" text="Rate">
      <formula>NOT(ISERROR(SEARCH("Rate",V44)))</formula>
    </cfRule>
    <cfRule type="expression" dxfId="123" priority="10">
      <formula>Output_NetPrice_JM &lt; 99</formula>
    </cfRule>
    <cfRule type="expression" dxfId="122" priority="11">
      <formula>Output_NetPrice_ExpNR &lt; 99</formula>
    </cfRule>
  </conditionalFormatting>
  <conditionalFormatting sqref="U46">
    <cfRule type="containsText" dxfId="121" priority="6" operator="containsText" text="Rate">
      <formula>NOT(ISERROR(SEARCH("Rate",U46)))</formula>
    </cfRule>
    <cfRule type="expression" dxfId="120" priority="7">
      <formula>Output_NetPrice_JM &lt; 99</formula>
    </cfRule>
    <cfRule type="expression" dxfId="119" priority="8">
      <formula>Output_NetPrice_ExpNR &lt; 99</formula>
    </cfRule>
  </conditionalFormatting>
  <conditionalFormatting sqref="S42">
    <cfRule type="containsText" dxfId="118" priority="3" operator="containsText" text="Rate">
      <formula>NOT(ISERROR(SEARCH("Rate",S42)))</formula>
    </cfRule>
    <cfRule type="expression" dxfId="117" priority="4">
      <formula>Output_NetPrice_JM &lt; 99</formula>
    </cfRule>
    <cfRule type="expression" dxfId="116" priority="5">
      <formula>Output_NetPrice_ExpNR &lt; 99</formula>
    </cfRule>
  </conditionalFormatting>
  <conditionalFormatting sqref="S77">
    <cfRule type="containsText" dxfId="115" priority="2" operator="containsText" text="n/a">
      <formula>NOT(ISERROR(SEARCH("n/a",S77)))</formula>
    </cfRule>
  </conditionalFormatting>
  <conditionalFormatting sqref="C11:D12">
    <cfRule type="containsErrors" dxfId="114"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855468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35.1" customHeight="1" x14ac:dyDescent="0.25">
      <c r="B1" s="952" t="s">
        <v>937</v>
      </c>
      <c r="C1" s="953"/>
      <c r="D1" s="953"/>
      <c r="E1" s="953"/>
      <c r="I1" s="59"/>
      <c r="J1" s="59"/>
      <c r="K1" s="59"/>
      <c r="L1" s="663" t="s">
        <v>647</v>
      </c>
      <c r="M1" s="663"/>
      <c r="N1" s="663"/>
      <c r="O1" s="663"/>
      <c r="P1" s="59"/>
      <c r="Q1" s="59"/>
      <c r="R1" s="59"/>
      <c r="S1" s="3"/>
      <c r="T1" s="3"/>
      <c r="U1" s="3"/>
    </row>
    <row r="2" spans="1:22" ht="17.45" customHeight="1" x14ac:dyDescent="0.25">
      <c r="B2" s="490" t="s">
        <v>822</v>
      </c>
      <c r="C2" s="656" t="s">
        <v>938</v>
      </c>
      <c r="D2" s="656"/>
      <c r="E2" s="657"/>
      <c r="I2" s="60"/>
      <c r="J2" s="60"/>
      <c r="K2" s="60"/>
      <c r="L2" s="664" t="s">
        <v>1</v>
      </c>
      <c r="M2" s="664"/>
      <c r="N2" s="664"/>
      <c r="O2" s="664"/>
      <c r="P2" s="60"/>
      <c r="Q2" s="59"/>
      <c r="R2" s="59"/>
      <c r="S2" s="3"/>
      <c r="T2" s="3"/>
      <c r="U2" s="3"/>
      <c r="V2" s="61"/>
    </row>
    <row r="3" spans="1:22" ht="17.45" customHeight="1" x14ac:dyDescent="0.25">
      <c r="B3" s="490" t="s">
        <v>939</v>
      </c>
      <c r="C3" s="656" t="s">
        <v>940</v>
      </c>
      <c r="D3" s="656"/>
      <c r="E3" s="657"/>
      <c r="I3" s="60"/>
      <c r="J3" s="60"/>
      <c r="K3" s="60"/>
      <c r="L3" s="664" t="s">
        <v>2</v>
      </c>
      <c r="M3" s="664"/>
      <c r="N3" s="664"/>
      <c r="O3" s="664"/>
      <c r="P3" s="60"/>
      <c r="Q3" s="60"/>
      <c r="R3" s="60"/>
      <c r="V3" s="62"/>
    </row>
    <row r="4" spans="1:22" ht="17.45" customHeight="1" x14ac:dyDescent="0.25">
      <c r="B4" s="490" t="s">
        <v>822</v>
      </c>
      <c r="C4" s="656" t="s">
        <v>941</v>
      </c>
      <c r="D4" s="656"/>
      <c r="E4" s="657"/>
      <c r="H4" s="9"/>
      <c r="I4" s="9"/>
      <c r="J4" s="9"/>
      <c r="K4" s="63"/>
      <c r="L4" s="64"/>
      <c r="M4" s="64"/>
      <c r="N4" s="655"/>
      <c r="O4" s="655"/>
      <c r="R4" s="3"/>
      <c r="S4" s="3"/>
    </row>
    <row r="5" spans="1:22" ht="17.45" customHeight="1" thickBot="1" x14ac:dyDescent="0.3">
      <c r="B5" s="489"/>
      <c r="C5" s="489"/>
      <c r="H5" s="9"/>
      <c r="I5" s="9"/>
      <c r="J5" s="9"/>
      <c r="K5" s="10"/>
      <c r="L5" s="655" t="s">
        <v>3</v>
      </c>
      <c r="M5" s="655"/>
      <c r="N5" s="655">
        <v>46310.375</v>
      </c>
      <c r="O5" s="655"/>
      <c r="Q5" s="474"/>
      <c r="R5" s="3"/>
      <c r="S5" s="3"/>
    </row>
    <row r="6" spans="1:22" ht="17.45" customHeight="1" x14ac:dyDescent="0.25">
      <c r="A6" s="292"/>
      <c r="B6" s="967" t="s">
        <v>4</v>
      </c>
      <c r="C6" s="968"/>
      <c r="D6" s="969"/>
      <c r="E6" s="292"/>
      <c r="F6" s="967" t="s">
        <v>653</v>
      </c>
      <c r="G6" s="968"/>
      <c r="H6" s="968"/>
      <c r="I6" s="968"/>
      <c r="J6" s="968"/>
      <c r="K6" s="968"/>
      <c r="L6" s="968"/>
      <c r="M6" s="968"/>
      <c r="N6" s="968"/>
      <c r="O6" s="969"/>
      <c r="P6" s="292"/>
      <c r="Q6" s="932" t="s">
        <v>5</v>
      </c>
      <c r="R6" s="933"/>
      <c r="S6" s="933"/>
      <c r="T6" s="934"/>
      <c r="U6" s="292"/>
    </row>
    <row r="7" spans="1:22" ht="17.45" customHeight="1" thickBot="1" x14ac:dyDescent="0.3">
      <c r="A7" s="292"/>
      <c r="B7" s="970"/>
      <c r="C7" s="971"/>
      <c r="D7" s="972"/>
      <c r="E7" s="292"/>
      <c r="F7" s="970"/>
      <c r="G7" s="971"/>
      <c r="H7" s="971"/>
      <c r="I7" s="971"/>
      <c r="J7" s="971"/>
      <c r="K7" s="971"/>
      <c r="L7" s="971"/>
      <c r="M7" s="971"/>
      <c r="N7" s="971"/>
      <c r="O7" s="972"/>
      <c r="P7" s="292"/>
      <c r="Q7" s="938"/>
      <c r="R7" s="939"/>
      <c r="S7" s="939"/>
      <c r="T7" s="940"/>
      <c r="U7" s="292"/>
    </row>
    <row r="8" spans="1:22" ht="15.75" customHeight="1" x14ac:dyDescent="0.25">
      <c r="A8" s="292"/>
      <c r="B8" s="326"/>
      <c r="C8" s="327"/>
      <c r="D8" s="328"/>
      <c r="E8" s="292"/>
      <c r="F8" s="326"/>
      <c r="G8" s="327"/>
      <c r="H8" s="327"/>
      <c r="I8" s="327"/>
      <c r="J8" s="327"/>
      <c r="K8" s="327"/>
      <c r="L8" s="327"/>
      <c r="M8" s="327"/>
      <c r="N8" s="327"/>
      <c r="O8" s="328"/>
      <c r="P8" s="292"/>
      <c r="Q8" s="266"/>
      <c r="R8" s="268"/>
      <c r="S8" s="268"/>
      <c r="T8" s="267"/>
      <c r="U8" s="292"/>
      <c r="V8" s="23"/>
    </row>
    <row r="9" spans="1:22" ht="15.75" customHeight="1" thickBot="1" x14ac:dyDescent="0.3">
      <c r="A9" s="292"/>
      <c r="B9" s="898" t="s">
        <v>6</v>
      </c>
      <c r="C9" s="899"/>
      <c r="D9" s="973"/>
      <c r="E9" s="292"/>
      <c r="F9" s="941" t="s">
        <v>7</v>
      </c>
      <c r="G9" s="942"/>
      <c r="H9" s="942"/>
      <c r="I9" s="942"/>
      <c r="J9" s="942"/>
      <c r="K9" s="942"/>
      <c r="L9" s="942"/>
      <c r="M9" s="942"/>
      <c r="N9" s="942"/>
      <c r="O9" s="943"/>
      <c r="P9" s="292"/>
      <c r="Q9" s="269"/>
      <c r="R9" s="270"/>
      <c r="S9" s="611" t="s">
        <v>8</v>
      </c>
      <c r="T9" s="271"/>
      <c r="U9" s="292"/>
    </row>
    <row r="10" spans="1:22" ht="15" customHeight="1" x14ac:dyDescent="0.25">
      <c r="A10" s="292"/>
      <c r="B10" s="272" t="s">
        <v>9</v>
      </c>
      <c r="C10" s="275" t="s">
        <v>176</v>
      </c>
      <c r="D10" s="274" t="s">
        <v>177</v>
      </c>
      <c r="E10" s="292"/>
      <c r="F10" s="926" t="s">
        <v>11</v>
      </c>
      <c r="G10" s="927"/>
      <c r="H10" s="275" t="s">
        <v>12</v>
      </c>
      <c r="I10" s="275" t="s">
        <v>13</v>
      </c>
      <c r="J10" s="275" t="s">
        <v>14</v>
      </c>
      <c r="K10" s="275" t="s">
        <v>15</v>
      </c>
      <c r="L10" s="275" t="s">
        <v>16</v>
      </c>
      <c r="M10" s="275" t="s">
        <v>17</v>
      </c>
      <c r="N10" s="275" t="s">
        <v>18</v>
      </c>
      <c r="O10" s="274" t="s">
        <v>19</v>
      </c>
      <c r="P10" s="292"/>
      <c r="Q10" s="974" t="s">
        <v>21</v>
      </c>
      <c r="R10" s="975"/>
      <c r="S10" s="65" t="s">
        <v>31</v>
      </c>
      <c r="T10" s="418"/>
      <c r="U10" s="292"/>
    </row>
    <row r="11" spans="1:22" ht="14.25" customHeight="1" x14ac:dyDescent="0.25">
      <c r="A11" s="292"/>
      <c r="B11" s="276">
        <v>6.375</v>
      </c>
      <c r="C11" s="342">
        <v>95.850500000000039</v>
      </c>
      <c r="D11" s="400" t="e">
        <v>#N/A</v>
      </c>
      <c r="E11" s="292"/>
      <c r="F11" s="881" t="s">
        <v>22</v>
      </c>
      <c r="G11" s="882">
        <v>0</v>
      </c>
      <c r="H11" s="14">
        <v>1.125</v>
      </c>
      <c r="I11" s="14">
        <v>0.9</v>
      </c>
      <c r="J11" s="14">
        <v>0.77500000000000002</v>
      </c>
      <c r="K11" s="14">
        <v>0.75</v>
      </c>
      <c r="L11" s="14">
        <v>0.75</v>
      </c>
      <c r="M11" s="14">
        <v>0.55000000000000004</v>
      </c>
      <c r="N11" s="14">
        <v>-0.5</v>
      </c>
      <c r="O11" s="15">
        <v>-2.25</v>
      </c>
      <c r="P11" s="292"/>
      <c r="Q11" s="883" t="s">
        <v>23</v>
      </c>
      <c r="R11" s="961"/>
      <c r="S11" s="16" t="s">
        <v>31</v>
      </c>
      <c r="T11" s="419"/>
      <c r="U11" s="292"/>
    </row>
    <row r="12" spans="1:22" ht="15" customHeight="1" x14ac:dyDescent="0.25">
      <c r="A12" s="292"/>
      <c r="B12" s="276">
        <v>6.4989999999999997</v>
      </c>
      <c r="C12" s="342">
        <v>96.413000000000039</v>
      </c>
      <c r="D12" s="400" t="e">
        <v>#N/A</v>
      </c>
      <c r="E12" s="292"/>
      <c r="F12" s="881" t="s">
        <v>24</v>
      </c>
      <c r="G12" s="882">
        <v>0</v>
      </c>
      <c r="H12" s="18">
        <v>0.9</v>
      </c>
      <c r="I12" s="18">
        <v>0.75</v>
      </c>
      <c r="J12" s="14">
        <v>0.75</v>
      </c>
      <c r="K12" s="18">
        <v>0.7</v>
      </c>
      <c r="L12" s="18">
        <v>0.5</v>
      </c>
      <c r="M12" s="14">
        <v>0.42499999999999999</v>
      </c>
      <c r="N12" s="14">
        <v>-0.75</v>
      </c>
      <c r="O12" s="15">
        <v>-2.5</v>
      </c>
      <c r="P12" s="292"/>
      <c r="Q12" s="883" t="s">
        <v>25</v>
      </c>
      <c r="R12" s="961"/>
      <c r="S12" s="16" t="s">
        <v>31</v>
      </c>
      <c r="T12" s="279" t="b">
        <f>IF(ISNUMBER(MATCH($S$11,'Feed(DSCR)'!$B$3:$B$11,0)),
   INDEX($H$11:$O$19,MATCH($S$12,$F$11:$F$19,0),MATCH($S$11,$H$10:$O$10,0)))</f>
        <v>0</v>
      </c>
      <c r="U12" s="292"/>
    </row>
    <row r="13" spans="1:22" ht="15.75" customHeight="1" x14ac:dyDescent="0.25">
      <c r="A13" s="292"/>
      <c r="B13" s="276">
        <v>6.625</v>
      </c>
      <c r="C13" s="342">
        <v>96.913000000000039</v>
      </c>
      <c r="D13" s="400" t="e">
        <v>#N/A</v>
      </c>
      <c r="E13" s="292"/>
      <c r="F13" s="881" t="s">
        <v>26</v>
      </c>
      <c r="G13" s="882">
        <v>0</v>
      </c>
      <c r="H13" s="18">
        <v>0.75</v>
      </c>
      <c r="I13" s="18">
        <v>0.625</v>
      </c>
      <c r="J13" s="14">
        <v>0.625</v>
      </c>
      <c r="K13" s="18">
        <v>0.6</v>
      </c>
      <c r="L13" s="18">
        <v>0.4</v>
      </c>
      <c r="M13" s="14">
        <v>0.21299999999999999</v>
      </c>
      <c r="N13" s="14">
        <v>-0.875</v>
      </c>
      <c r="O13" s="15">
        <v>-2.75</v>
      </c>
      <c r="P13" s="292"/>
      <c r="Q13" s="883" t="s">
        <v>27</v>
      </c>
      <c r="R13" s="961"/>
      <c r="S13" s="16" t="s">
        <v>31</v>
      </c>
      <c r="T13" s="419" t="e">
        <f>IF(AND($S$24="DSCR 5-8",$S$13="Core DSCR (≥1.20)"),0, IF(OR($S$11="", $S$13=""), "",
   INDEX($H$23:$O$28,
         MATCH($S$13,$F$23:$F$28,0),
         MATCH($S$11,$H$10:$O$10,0))))</f>
        <v>#N/A</v>
      </c>
      <c r="U13" s="292"/>
    </row>
    <row r="14" spans="1:22" ht="15.75" customHeight="1" x14ac:dyDescent="0.25">
      <c r="A14" s="292"/>
      <c r="B14" s="276">
        <v>6.75</v>
      </c>
      <c r="C14" s="18">
        <v>97.413000000000039</v>
      </c>
      <c r="D14" s="400" t="e">
        <v>#N/A</v>
      </c>
      <c r="E14" s="292"/>
      <c r="F14" s="881" t="s">
        <v>29</v>
      </c>
      <c r="G14" s="882">
        <v>0</v>
      </c>
      <c r="H14" s="18">
        <v>0.625</v>
      </c>
      <c r="I14" s="18">
        <v>0.5</v>
      </c>
      <c r="J14" s="14">
        <v>0.5</v>
      </c>
      <c r="K14" s="18">
        <v>0.5</v>
      </c>
      <c r="L14" s="18">
        <v>2.5000000000000001E-2</v>
      </c>
      <c r="M14" s="14">
        <v>-0.1</v>
      </c>
      <c r="N14" s="14">
        <v>-1.75</v>
      </c>
      <c r="O14" s="15">
        <v>-3.25</v>
      </c>
      <c r="P14" s="292"/>
      <c r="Q14" s="883" t="s">
        <v>30</v>
      </c>
      <c r="R14" s="961"/>
      <c r="S14" s="16" t="s">
        <v>31</v>
      </c>
      <c r="T14" s="419">
        <f>'Feed(DSCR)'!$O$180</f>
        <v>0</v>
      </c>
      <c r="U14" s="292"/>
      <c r="V14" s="17"/>
    </row>
    <row r="15" spans="1:22" ht="15" customHeight="1" x14ac:dyDescent="0.25">
      <c r="A15" s="292"/>
      <c r="B15" s="276">
        <v>6.875</v>
      </c>
      <c r="C15" s="18">
        <v>97.913000000000039</v>
      </c>
      <c r="D15" s="400" t="e">
        <v>#N/A</v>
      </c>
      <c r="E15" s="292"/>
      <c r="F15" s="881" t="s">
        <v>32</v>
      </c>
      <c r="G15" s="882">
        <v>0</v>
      </c>
      <c r="H15" s="18">
        <v>0.5</v>
      </c>
      <c r="I15" s="18">
        <v>0.375</v>
      </c>
      <c r="J15" s="14">
        <v>0.125</v>
      </c>
      <c r="K15" s="18">
        <v>2.5000000000000001E-2</v>
      </c>
      <c r="L15" s="18">
        <v>-0.25</v>
      </c>
      <c r="M15" s="14">
        <v>-1</v>
      </c>
      <c r="N15" s="14">
        <v>-2.5</v>
      </c>
      <c r="O15" s="278" t="e">
        <v>#N/A</v>
      </c>
      <c r="P15" s="292"/>
      <c r="Q15" s="883" t="s">
        <v>33</v>
      </c>
      <c r="R15" s="961"/>
      <c r="S15" s="16" t="s">
        <v>34</v>
      </c>
      <c r="T15" s="419" t="e">
        <f>IF(OR($S$11="", $S$15=""), "",
   INDEX($H$71:$O$75,
         MATCH($S$15,$F$71:$F$75,0),
         MATCH($S$11,$H$10:$O$10,0)))</f>
        <v>#N/A</v>
      </c>
      <c r="U15" s="292"/>
      <c r="V15" s="17"/>
    </row>
    <row r="16" spans="1:22" ht="14.25" customHeight="1" x14ac:dyDescent="0.25">
      <c r="A16" s="292"/>
      <c r="B16" s="276">
        <v>6.9989999999999997</v>
      </c>
      <c r="C16" s="18">
        <v>98.413000000000039</v>
      </c>
      <c r="D16" s="400" t="e">
        <v>#N/A</v>
      </c>
      <c r="E16" s="292"/>
      <c r="F16" s="881" t="s">
        <v>35</v>
      </c>
      <c r="G16" s="882">
        <v>0</v>
      </c>
      <c r="H16" s="18">
        <v>0.25</v>
      </c>
      <c r="I16" s="18">
        <v>-0.125</v>
      </c>
      <c r="J16" s="14">
        <v>-0.125</v>
      </c>
      <c r="K16" s="18">
        <v>-0.25</v>
      </c>
      <c r="L16" s="18">
        <v>-0.85</v>
      </c>
      <c r="M16" s="14">
        <v>-1.5</v>
      </c>
      <c r="N16" s="14">
        <v>-3.25</v>
      </c>
      <c r="O16" s="278" t="e">
        <v>#N/A</v>
      </c>
      <c r="P16" s="292"/>
      <c r="Q16" s="883" t="s">
        <v>36</v>
      </c>
      <c r="R16" s="961"/>
      <c r="S16" s="16" t="s">
        <v>37</v>
      </c>
      <c r="T16" s="419">
        <f>IF(OR($S$11="", $S$16="", $S$16="NONE"),0,
   INDEX($H$77:$O$80,
         MATCH($S$16,$F$77:$F$80,0),
         MATCH($S$11,$H$10:$O$10,0)))</f>
        <v>0</v>
      </c>
      <c r="U16" s="292"/>
      <c r="V16" s="17"/>
    </row>
    <row r="17" spans="1:26" ht="15" customHeight="1" x14ac:dyDescent="0.25">
      <c r="A17" s="292"/>
      <c r="B17" s="276">
        <v>7.125</v>
      </c>
      <c r="C17" s="18">
        <v>98.913000000000039</v>
      </c>
      <c r="D17" s="400" t="e">
        <v>#N/A</v>
      </c>
      <c r="E17" s="292"/>
      <c r="F17" s="881" t="s">
        <v>38</v>
      </c>
      <c r="G17" s="882">
        <v>0</v>
      </c>
      <c r="H17" s="18">
        <v>-0.25</v>
      </c>
      <c r="I17" s="18">
        <v>-0.25</v>
      </c>
      <c r="J17" s="14">
        <v>-0.75</v>
      </c>
      <c r="K17" s="18">
        <v>-1.25</v>
      </c>
      <c r="L17" s="18">
        <v>-1.9750000000000001</v>
      </c>
      <c r="M17" s="14">
        <v>-2.6</v>
      </c>
      <c r="N17" s="277" t="e">
        <v>#N/A</v>
      </c>
      <c r="O17" s="278" t="e">
        <v>#N/A</v>
      </c>
      <c r="P17" s="292"/>
      <c r="Q17" s="883" t="s">
        <v>39</v>
      </c>
      <c r="R17" s="961"/>
      <c r="S17" s="16" t="s">
        <v>31</v>
      </c>
      <c r="T17" s="419">
        <v>0</v>
      </c>
      <c r="U17" s="292"/>
      <c r="V17" s="17"/>
    </row>
    <row r="18" spans="1:26" ht="15" customHeight="1" x14ac:dyDescent="0.25">
      <c r="A18" s="292"/>
      <c r="B18" s="276">
        <v>7.25</v>
      </c>
      <c r="C18" s="18">
        <v>99.413000000000039</v>
      </c>
      <c r="D18" s="342">
        <v>94.6</v>
      </c>
      <c r="E18" s="292"/>
      <c r="F18" s="881" t="s">
        <v>40</v>
      </c>
      <c r="G18" s="882">
        <v>0</v>
      </c>
      <c r="H18" s="18">
        <v>-0.89999999999999991</v>
      </c>
      <c r="I18" s="18">
        <v>-1.25</v>
      </c>
      <c r="J18" s="14">
        <v>-1.65</v>
      </c>
      <c r="K18" s="18">
        <v>-1.875</v>
      </c>
      <c r="L18" s="18">
        <v>-2.875</v>
      </c>
      <c r="M18" s="14">
        <v>-3.625</v>
      </c>
      <c r="N18" s="277" t="e">
        <v>#N/A</v>
      </c>
      <c r="O18" s="278" t="e">
        <v>#N/A</v>
      </c>
      <c r="P18" s="292"/>
      <c r="Q18" s="883" t="s">
        <v>41</v>
      </c>
      <c r="R18" s="961"/>
      <c r="S18" s="16" t="s">
        <v>31</v>
      </c>
      <c r="T18" s="419" t="e">
        <f>IF(OR($S$11="", $S$18="", $S$18="None in this Dropdown"),0,
   INDEX($H$46:$O$49,
         MATCH($S$18,$F$46:$F$49,0),
         MATCH($S$11,$H$10:$O$10,0)))</f>
        <v>#N/A</v>
      </c>
      <c r="U18" s="292"/>
      <c r="V18" s="17"/>
    </row>
    <row r="19" spans="1:26" ht="15.75" customHeight="1" x14ac:dyDescent="0.25">
      <c r="A19" s="292"/>
      <c r="B19" s="276">
        <v>7.375</v>
      </c>
      <c r="C19" s="18">
        <v>99.788000000000039</v>
      </c>
      <c r="D19" s="342">
        <v>94.974999999999994</v>
      </c>
      <c r="E19" s="292"/>
      <c r="F19" s="881" t="s">
        <v>42</v>
      </c>
      <c r="G19" s="882">
        <v>0</v>
      </c>
      <c r="H19" s="18">
        <v>-2</v>
      </c>
      <c r="I19" s="18">
        <v>-2.25</v>
      </c>
      <c r="J19" s="14">
        <v>-2.4</v>
      </c>
      <c r="K19" s="18">
        <v>-2.875</v>
      </c>
      <c r="L19" s="18">
        <v>-3.625</v>
      </c>
      <c r="M19" s="277" t="e">
        <v>#N/A</v>
      </c>
      <c r="N19" s="277" t="e">
        <v>#N/A</v>
      </c>
      <c r="O19" s="278" t="e">
        <v>#N/A</v>
      </c>
      <c r="P19" s="292"/>
      <c r="Q19" s="883" t="s">
        <v>592</v>
      </c>
      <c r="R19" s="961"/>
      <c r="S19" s="16" t="s">
        <v>31</v>
      </c>
      <c r="T19" s="419">
        <f>'Feed(DSCR)'!$R$175</f>
        <v>0</v>
      </c>
      <c r="U19" s="292"/>
      <c r="V19" s="17"/>
    </row>
    <row r="20" spans="1:26" ht="15.75" customHeight="1" x14ac:dyDescent="0.25">
      <c r="A20" s="292"/>
      <c r="B20" s="276">
        <v>7.4989999999999997</v>
      </c>
      <c r="C20" s="18">
        <v>100.16300000000004</v>
      </c>
      <c r="D20" s="342">
        <v>95.6</v>
      </c>
      <c r="E20" s="292"/>
      <c r="F20" s="926"/>
      <c r="G20" s="927"/>
      <c r="H20" s="275"/>
      <c r="I20" s="275"/>
      <c r="J20" s="275"/>
      <c r="K20" s="275"/>
      <c r="L20" s="275"/>
      <c r="M20" s="275"/>
      <c r="N20" s="275"/>
      <c r="O20" s="274"/>
      <c r="P20" s="292"/>
      <c r="Q20" s="883" t="s">
        <v>46</v>
      </c>
      <c r="R20" s="961"/>
      <c r="S20" s="16" t="s">
        <v>31</v>
      </c>
      <c r="T20" s="419" t="e">
        <f>IF(OR($S$11="", $S$20=""), "",
   INDEX($H$36:$O$44,
         MATCH($S$20,$F$36:$F$44,0),
         MATCH($S$11,$H$10:$O$10,0)))</f>
        <v>#N/A</v>
      </c>
      <c r="U20" s="292"/>
      <c r="V20" s="17"/>
      <c r="Z20" s="66"/>
    </row>
    <row r="21" spans="1:26" ht="15.75" customHeight="1" x14ac:dyDescent="0.25">
      <c r="A21" s="292"/>
      <c r="B21" s="276">
        <v>7.625</v>
      </c>
      <c r="C21" s="18">
        <v>100.53800000000004</v>
      </c>
      <c r="D21" s="18">
        <v>96.1</v>
      </c>
      <c r="E21" s="292"/>
      <c r="F21" s="948"/>
      <c r="G21" s="949"/>
      <c r="H21" s="949"/>
      <c r="I21" s="949"/>
      <c r="J21" s="949"/>
      <c r="K21" s="949"/>
      <c r="L21" s="949"/>
      <c r="M21" s="949"/>
      <c r="N21" s="949"/>
      <c r="O21" s="966"/>
      <c r="P21" s="292"/>
      <c r="Q21" s="883" t="s">
        <v>47</v>
      </c>
      <c r="R21" s="961"/>
      <c r="S21" s="16" t="s">
        <v>31</v>
      </c>
      <c r="T21" s="419" t="e">
        <f>IF(OR($S$11="", $S$21=""), "",
   INDEX($H$30:$O$34,
         MATCH($S$21,$F$30:$F$34,0),
         MATCH($S$11,$H$10:$O$10,0)))</f>
        <v>#N/A</v>
      </c>
      <c r="U21" s="292"/>
      <c r="V21" s="17"/>
    </row>
    <row r="22" spans="1:26" ht="15" customHeight="1" x14ac:dyDescent="0.25">
      <c r="A22" s="292"/>
      <c r="B22" s="276">
        <v>7.75</v>
      </c>
      <c r="C22" s="18">
        <v>100.91300000000004</v>
      </c>
      <c r="D22" s="18">
        <v>96.35</v>
      </c>
      <c r="E22" s="292"/>
      <c r="F22" s="903" t="s">
        <v>27</v>
      </c>
      <c r="G22" s="904"/>
      <c r="H22" s="904"/>
      <c r="I22" s="904"/>
      <c r="J22" s="904"/>
      <c r="K22" s="904"/>
      <c r="L22" s="904"/>
      <c r="M22" s="904"/>
      <c r="N22" s="904"/>
      <c r="O22" s="905"/>
      <c r="P22" s="292"/>
      <c r="Q22" s="883" t="s">
        <v>178</v>
      </c>
      <c r="R22" s="961"/>
      <c r="S22" s="16" t="s">
        <v>31</v>
      </c>
      <c r="T22" s="419">
        <v>0</v>
      </c>
      <c r="U22" s="292"/>
      <c r="V22" s="17"/>
    </row>
    <row r="23" spans="1:26" ht="15" customHeight="1" x14ac:dyDescent="0.25">
      <c r="A23" s="292"/>
      <c r="B23" s="276">
        <v>7.875</v>
      </c>
      <c r="C23" s="18">
        <v>101.22550000000004</v>
      </c>
      <c r="D23" s="18">
        <v>96.6</v>
      </c>
      <c r="E23" s="292"/>
      <c r="F23" s="622" t="s">
        <v>179</v>
      </c>
      <c r="G23" s="623"/>
      <c r="H23" s="18">
        <v>0.5</v>
      </c>
      <c r="I23" s="18">
        <v>0.5</v>
      </c>
      <c r="J23" s="18">
        <v>0.5</v>
      </c>
      <c r="K23" s="18">
        <v>0.5</v>
      </c>
      <c r="L23" s="18">
        <v>0.5</v>
      </c>
      <c r="M23" s="18">
        <v>0.5</v>
      </c>
      <c r="N23" s="18" t="e">
        <v>#N/A</v>
      </c>
      <c r="O23" s="19" t="e">
        <v>#N/A</v>
      </c>
      <c r="P23" s="292"/>
      <c r="Q23" s="883" t="s">
        <v>49</v>
      </c>
      <c r="R23" s="961"/>
      <c r="S23" s="16" t="s">
        <v>31</v>
      </c>
      <c r="T23" s="419">
        <v>0</v>
      </c>
      <c r="U23" s="292"/>
      <c r="V23" s="17"/>
      <c r="Z23" s="23"/>
    </row>
    <row r="24" spans="1:26" ht="15.75" customHeight="1" x14ac:dyDescent="0.25">
      <c r="A24" s="292"/>
      <c r="B24" s="276">
        <v>7.9989999999999997</v>
      </c>
      <c r="C24" s="18">
        <v>101.53800000000004</v>
      </c>
      <c r="D24" s="18">
        <v>97.1</v>
      </c>
      <c r="E24" s="292"/>
      <c r="F24" s="622" t="s">
        <v>180</v>
      </c>
      <c r="G24" s="623"/>
      <c r="H24" s="18">
        <v>0.375</v>
      </c>
      <c r="I24" s="18">
        <v>0.375</v>
      </c>
      <c r="J24" s="18">
        <v>0.375</v>
      </c>
      <c r="K24" s="18">
        <v>0.375</v>
      </c>
      <c r="L24" s="18">
        <v>0.375</v>
      </c>
      <c r="M24" s="18">
        <v>0.375</v>
      </c>
      <c r="N24" s="18">
        <v>0.375</v>
      </c>
      <c r="O24" s="19">
        <v>0.375</v>
      </c>
      <c r="P24" s="292"/>
      <c r="Q24" s="883" t="s">
        <v>50</v>
      </c>
      <c r="R24" s="961"/>
      <c r="S24" s="16" t="s">
        <v>31</v>
      </c>
      <c r="T24" s="419">
        <f>'Feed(DSCR)'!$P$175</f>
        <v>0</v>
      </c>
      <c r="U24" s="292"/>
      <c r="V24" s="17"/>
      <c r="Z24" s="23"/>
    </row>
    <row r="25" spans="1:26" ht="15.75" customHeight="1" x14ac:dyDescent="0.25">
      <c r="A25" s="292"/>
      <c r="B25" s="276">
        <v>8.125</v>
      </c>
      <c r="C25" s="18">
        <v>101.85050000000004</v>
      </c>
      <c r="D25" s="18">
        <v>97.35</v>
      </c>
      <c r="E25" s="292"/>
      <c r="F25" s="622" t="s">
        <v>181</v>
      </c>
      <c r="G25" s="623"/>
      <c r="H25" s="18">
        <v>0</v>
      </c>
      <c r="I25" s="18">
        <v>0</v>
      </c>
      <c r="J25" s="18">
        <v>0</v>
      </c>
      <c r="K25" s="18">
        <v>0</v>
      </c>
      <c r="L25" s="18">
        <v>0</v>
      </c>
      <c r="M25" s="18">
        <v>0</v>
      </c>
      <c r="N25" s="18">
        <v>0</v>
      </c>
      <c r="O25" s="18">
        <v>0</v>
      </c>
      <c r="P25" s="292"/>
      <c r="Q25" s="883" t="s">
        <v>52</v>
      </c>
      <c r="R25" s="961"/>
      <c r="S25" s="16" t="s">
        <v>53</v>
      </c>
      <c r="T25" s="419" t="e">
        <f>'Feed(DSCR)'!$O$175</f>
        <v>#N/A</v>
      </c>
      <c r="U25" s="292"/>
      <c r="V25" s="17"/>
    </row>
    <row r="26" spans="1:26" ht="15" customHeight="1" x14ac:dyDescent="0.25">
      <c r="A26" s="292"/>
      <c r="B26" s="276">
        <v>8.25</v>
      </c>
      <c r="C26" s="18">
        <v>102.16300000000004</v>
      </c>
      <c r="D26" s="18">
        <v>97.6</v>
      </c>
      <c r="E26" s="292"/>
      <c r="F26" s="622" t="s">
        <v>182</v>
      </c>
      <c r="G26" s="623"/>
      <c r="H26" s="18">
        <v>-2</v>
      </c>
      <c r="I26" s="18">
        <v>-2</v>
      </c>
      <c r="J26" s="18">
        <v>-2</v>
      </c>
      <c r="K26" s="18">
        <v>-2</v>
      </c>
      <c r="L26" s="18">
        <v>-2</v>
      </c>
      <c r="M26" s="18">
        <v>-2</v>
      </c>
      <c r="N26" s="18" t="e">
        <v>#N/A</v>
      </c>
      <c r="O26" s="19" t="e">
        <v>#N/A</v>
      </c>
      <c r="P26" s="292"/>
      <c r="Q26" s="883" t="s">
        <v>55</v>
      </c>
      <c r="R26" s="961"/>
      <c r="S26" s="16" t="s">
        <v>56</v>
      </c>
      <c r="T26" s="419" t="e">
        <f>'Feed(DSCR)'!$Q$180</f>
        <v>#N/A</v>
      </c>
      <c r="U26" s="292"/>
      <c r="V26" s="17"/>
    </row>
    <row r="27" spans="1:26" ht="15.75" customHeight="1" x14ac:dyDescent="0.25">
      <c r="A27" s="292"/>
      <c r="B27" s="276">
        <v>8.375</v>
      </c>
      <c r="C27" s="18">
        <v>102.47550000000004</v>
      </c>
      <c r="D27" s="18">
        <v>97.85</v>
      </c>
      <c r="E27" s="292"/>
      <c r="F27" s="622" t="s">
        <v>183</v>
      </c>
      <c r="G27" s="623"/>
      <c r="H27" s="18">
        <v>-3</v>
      </c>
      <c r="I27" s="18">
        <v>-3</v>
      </c>
      <c r="J27" s="18">
        <v>-3</v>
      </c>
      <c r="K27" s="18">
        <v>-3</v>
      </c>
      <c r="L27" s="18">
        <v>-3</v>
      </c>
      <c r="M27" s="18" t="e">
        <v>#N/A</v>
      </c>
      <c r="N27" s="18" t="e">
        <v>#N/A</v>
      </c>
      <c r="O27" s="19" t="e">
        <v>#N/A</v>
      </c>
      <c r="P27" s="292"/>
      <c r="Q27" s="883" t="s">
        <v>58</v>
      </c>
      <c r="R27" s="961"/>
      <c r="S27" s="16" t="s">
        <v>31</v>
      </c>
      <c r="T27" s="419">
        <f>IF($S$11="", "",
   IF($S$27="Choose a Selection",0,
      INDEX($H$51:$O$62,
           MATCH($S$27,$F$51:$F$62,0),
           MATCH($S$11,$H$10:$O$10,0))))</f>
        <v>0</v>
      </c>
      <c r="U27" s="292"/>
      <c r="V27" s="17"/>
      <c r="W27" s="3"/>
      <c r="X27" s="3"/>
      <c r="Y27" s="3"/>
    </row>
    <row r="28" spans="1:26" ht="15.75" customHeight="1" x14ac:dyDescent="0.25">
      <c r="A28" s="292"/>
      <c r="B28" s="276">
        <v>8.4990000000000006</v>
      </c>
      <c r="C28" s="18">
        <v>102.72550000000004</v>
      </c>
      <c r="D28" s="18">
        <v>98.224999999999994</v>
      </c>
      <c r="E28" s="292"/>
      <c r="F28" s="622" t="s">
        <v>184</v>
      </c>
      <c r="G28" s="623"/>
      <c r="H28" s="18">
        <v>-1.75</v>
      </c>
      <c r="I28" s="18">
        <v>-1.75</v>
      </c>
      <c r="J28" s="18">
        <v>-1.75</v>
      </c>
      <c r="K28" s="18">
        <v>-1.75</v>
      </c>
      <c r="L28" s="18">
        <v>-1.75</v>
      </c>
      <c r="M28" s="18">
        <v>-1.75</v>
      </c>
      <c r="N28" s="18">
        <v>-1.75</v>
      </c>
      <c r="O28" s="19" t="e">
        <v>#N/A</v>
      </c>
      <c r="P28" s="292"/>
      <c r="Q28" s="883" t="s">
        <v>60</v>
      </c>
      <c r="R28" s="961"/>
      <c r="S28" s="16"/>
      <c r="T28" s="419">
        <v>0</v>
      </c>
      <c r="U28" s="292"/>
      <c r="V28" s="17"/>
      <c r="W28" s="3"/>
      <c r="X28" s="3"/>
      <c r="Y28" s="3"/>
    </row>
    <row r="29" spans="1:26" ht="15" customHeight="1" x14ac:dyDescent="0.25">
      <c r="A29" s="292"/>
      <c r="B29" s="276">
        <v>8.625</v>
      </c>
      <c r="C29" s="18">
        <v>102.97550000000004</v>
      </c>
      <c r="D29" s="18">
        <v>98.6</v>
      </c>
      <c r="E29" s="292"/>
      <c r="F29" s="903" t="s">
        <v>47</v>
      </c>
      <c r="G29" s="904"/>
      <c r="H29" s="904"/>
      <c r="I29" s="904"/>
      <c r="J29" s="904"/>
      <c r="K29" s="904"/>
      <c r="L29" s="904"/>
      <c r="M29" s="904"/>
      <c r="N29" s="904"/>
      <c r="O29" s="905"/>
      <c r="P29" s="292"/>
      <c r="Q29" s="883" t="s">
        <v>62</v>
      </c>
      <c r="R29" s="961"/>
      <c r="S29" s="16" t="s">
        <v>31</v>
      </c>
      <c r="T29" s="419">
        <f>'Feed(DSCR)'!$O$185</f>
        <v>0</v>
      </c>
      <c r="U29" s="292"/>
      <c r="V29" s="17"/>
      <c r="W29" s="24"/>
      <c r="X29" s="24"/>
      <c r="Y29" s="24"/>
    </row>
    <row r="30" spans="1:26" ht="15" customHeight="1" x14ac:dyDescent="0.25">
      <c r="A30" s="292"/>
      <c r="B30" s="276">
        <v>8.75</v>
      </c>
      <c r="C30" s="18">
        <v>103.22550000000004</v>
      </c>
      <c r="D30" s="18">
        <v>98.85</v>
      </c>
      <c r="E30" s="292"/>
      <c r="F30" s="782" t="s">
        <v>68</v>
      </c>
      <c r="G30" s="783"/>
      <c r="H30" s="18">
        <v>0</v>
      </c>
      <c r="I30" s="18">
        <v>0</v>
      </c>
      <c r="J30" s="18">
        <v>0</v>
      </c>
      <c r="K30" s="18">
        <v>0</v>
      </c>
      <c r="L30" s="18">
        <v>0</v>
      </c>
      <c r="M30" s="18">
        <v>0</v>
      </c>
      <c r="N30" s="18">
        <v>0</v>
      </c>
      <c r="O30" s="19">
        <v>0</v>
      </c>
      <c r="P30" s="292"/>
      <c r="Q30" s="883" t="s">
        <v>64</v>
      </c>
      <c r="R30" s="961"/>
      <c r="S30" s="25" t="s">
        <v>65</v>
      </c>
      <c r="T30" s="419" t="e">
        <f>'Feed(DSCR)'!$R$180</f>
        <v>#N/A</v>
      </c>
      <c r="U30" s="292"/>
      <c r="V30" s="17"/>
    </row>
    <row r="31" spans="1:26" ht="15" customHeight="1" x14ac:dyDescent="0.25">
      <c r="A31" s="292"/>
      <c r="B31" s="276">
        <v>8.875</v>
      </c>
      <c r="C31" s="18">
        <v>103.47550000000004</v>
      </c>
      <c r="D31" s="18">
        <v>99.224999999999994</v>
      </c>
      <c r="E31" s="292"/>
      <c r="F31" s="782" t="s">
        <v>70</v>
      </c>
      <c r="G31" s="783"/>
      <c r="H31" s="18">
        <v>0</v>
      </c>
      <c r="I31" s="18">
        <v>0</v>
      </c>
      <c r="J31" s="18">
        <v>0</v>
      </c>
      <c r="K31" s="18">
        <v>0</v>
      </c>
      <c r="L31" s="18">
        <v>0</v>
      </c>
      <c r="M31" s="18">
        <v>0</v>
      </c>
      <c r="N31" s="18">
        <v>0</v>
      </c>
      <c r="O31" s="19">
        <v>0.25</v>
      </c>
      <c r="P31" s="292"/>
      <c r="Q31" s="883" t="s">
        <v>66</v>
      </c>
      <c r="R31" s="961"/>
      <c r="S31" s="25" t="s">
        <v>67</v>
      </c>
      <c r="T31" s="419" cm="1">
        <f t="array" ref="T31">IF(OR(
      AND(OR($S$31='Feed(DSCR)'!$R$4:$R$5), $S$21&lt;&gt;'Feed(DSCR)'!$J$3),
      AND(OR($S$31='Feed(DSCR)'!$R$4:$R$5), $S$25&lt;&gt;'Feed(DSCR)'!$M$4),
      AND(OR($S$31='Feed(DSCR)'!$R$4:$R$5), $S$21&lt;&gt;'Feed(DSCR)'!$L$3:$L$4),
   ),
   NA(),
   0)</f>
        <v>0</v>
      </c>
      <c r="U31" s="292"/>
      <c r="V31" s="17"/>
    </row>
    <row r="32" spans="1:26" ht="15" customHeight="1" x14ac:dyDescent="0.25">
      <c r="A32" s="292"/>
      <c r="B32" s="276">
        <v>8.9990000000000006</v>
      </c>
      <c r="C32" s="18">
        <v>103.72550000000004</v>
      </c>
      <c r="D32" s="18">
        <v>99.35</v>
      </c>
      <c r="E32" s="292"/>
      <c r="F32" s="782" t="s">
        <v>72</v>
      </c>
      <c r="G32" s="783"/>
      <c r="H32" s="18">
        <v>-0.125</v>
      </c>
      <c r="I32" s="18">
        <v>-0.25</v>
      </c>
      <c r="J32" s="18">
        <v>-0.375</v>
      </c>
      <c r="K32" s="18">
        <v>-0.5</v>
      </c>
      <c r="L32" s="18">
        <v>-0.5</v>
      </c>
      <c r="M32" s="18">
        <v>-0.5</v>
      </c>
      <c r="N32" s="18">
        <v>-1.75</v>
      </c>
      <c r="O32" s="19" t="e">
        <v>#N/A</v>
      </c>
      <c r="P32" s="292"/>
      <c r="Q32" s="883" t="s">
        <v>69</v>
      </c>
      <c r="R32" s="961"/>
      <c r="S32" s="25" t="s">
        <v>67</v>
      </c>
      <c r="T32" s="419">
        <v>0</v>
      </c>
      <c r="U32" s="292"/>
      <c r="V32" s="17"/>
    </row>
    <row r="33" spans="1:26" ht="15.75" customHeight="1" x14ac:dyDescent="0.25">
      <c r="A33" s="292"/>
      <c r="B33" s="276">
        <v>9.125</v>
      </c>
      <c r="C33" s="18">
        <v>103.97550000000004</v>
      </c>
      <c r="D33" s="18">
        <v>99.724999999999994</v>
      </c>
      <c r="E33" s="292"/>
      <c r="F33" s="782" t="s">
        <v>75</v>
      </c>
      <c r="G33" s="783"/>
      <c r="H33" s="18">
        <v>-0.25</v>
      </c>
      <c r="I33" s="18">
        <v>-0.25</v>
      </c>
      <c r="J33" s="18">
        <v>-0.25</v>
      </c>
      <c r="K33" s="18">
        <v>-0.25</v>
      </c>
      <c r="L33" s="18">
        <v>-0.25</v>
      </c>
      <c r="M33" s="18">
        <v>-0.25</v>
      </c>
      <c r="N33" s="18">
        <v>-0.375</v>
      </c>
      <c r="O33" s="19" t="e">
        <v>#N/A</v>
      </c>
      <c r="P33" s="292"/>
      <c r="Q33" s="883" t="s">
        <v>71</v>
      </c>
      <c r="R33" s="961"/>
      <c r="S33" s="26" t="str">
        <f>IF(ISNA(T33),"Yes",IF(T33=0,"No",""))</f>
        <v>No</v>
      </c>
      <c r="T33" s="419">
        <f>'Feed(DSCR)'!$B$67</f>
        <v>0</v>
      </c>
      <c r="U33" s="292"/>
      <c r="V33" s="17"/>
    </row>
    <row r="34" spans="1:26" ht="15" customHeight="1" x14ac:dyDescent="0.25">
      <c r="A34" s="292"/>
      <c r="B34" s="276">
        <v>9.25</v>
      </c>
      <c r="C34" s="18">
        <v>104.22550000000004</v>
      </c>
      <c r="D34" s="18">
        <v>99.974999999999994</v>
      </c>
      <c r="E34" s="292"/>
      <c r="F34" s="782" t="s">
        <v>76</v>
      </c>
      <c r="G34" s="783"/>
      <c r="H34" s="18">
        <v>-0.5</v>
      </c>
      <c r="I34" s="18">
        <v>-0.5</v>
      </c>
      <c r="J34" s="18">
        <v>-0.625</v>
      </c>
      <c r="K34" s="18">
        <v>-0.75</v>
      </c>
      <c r="L34" s="18">
        <v>-0.75</v>
      </c>
      <c r="M34" s="18" t="e">
        <v>#N/A</v>
      </c>
      <c r="N34" s="18" t="e">
        <v>#N/A</v>
      </c>
      <c r="O34" s="19" t="e">
        <v>#N/A</v>
      </c>
      <c r="P34" s="292"/>
      <c r="Q34" s="883" t="s">
        <v>769</v>
      </c>
      <c r="R34" s="961"/>
      <c r="S34" s="25" t="s">
        <v>31</v>
      </c>
      <c r="T34" s="419" t="str">
        <f>IF(S34="Tier 1 States",T79,IF(S34="Tier 2 States",T81,IF(S34="Tier 3 States",T83,"0.000")))</f>
        <v>0.000</v>
      </c>
      <c r="U34" s="292"/>
      <c r="V34" s="17"/>
    </row>
    <row r="35" spans="1:26" ht="15.75" customHeight="1" thickBot="1" x14ac:dyDescent="0.3">
      <c r="A35" s="292"/>
      <c r="B35" s="276">
        <v>9.375</v>
      </c>
      <c r="C35" s="18">
        <v>104.47550000000004</v>
      </c>
      <c r="D35" s="18">
        <v>100.35</v>
      </c>
      <c r="E35" s="292"/>
      <c r="F35" s="903" t="s">
        <v>78</v>
      </c>
      <c r="G35" s="904"/>
      <c r="H35" s="904"/>
      <c r="I35" s="904"/>
      <c r="J35" s="904"/>
      <c r="K35" s="904"/>
      <c r="L35" s="904"/>
      <c r="M35" s="904"/>
      <c r="N35" s="904"/>
      <c r="O35" s="905"/>
      <c r="P35" s="292"/>
      <c r="Q35" s="962" t="str">
        <f>IF('Feed(DSCR)'!Z1=0,"",INDEX('Feed(DSCR)'!$AA$1:$AA$3,MATCH('Feed(DSCR)'!Z1,'Feed(DSCR)'!$Z$1:$Z$3,0)))</f>
        <v>Special</v>
      </c>
      <c r="R35" s="963"/>
      <c r="S35" s="26" t="str">
        <f>IF(T35=FALSE,'Feed(DSCR)'!Y4,'Feed(DSCR)'!Y5)</f>
        <v>Not Applicable</v>
      </c>
      <c r="T35" s="420" t="b">
        <f>'Feed(DSCR)'!$Z$1</f>
        <v>0</v>
      </c>
      <c r="U35" s="292"/>
      <c r="V35" s="17"/>
    </row>
    <row r="36" spans="1:26" ht="15" customHeight="1" x14ac:dyDescent="0.25">
      <c r="A36" s="292"/>
      <c r="B36" s="276">
        <v>9.4990000000000006</v>
      </c>
      <c r="C36" s="18">
        <v>104.60050000000004</v>
      </c>
      <c r="D36" s="18">
        <v>100.72499999999999</v>
      </c>
      <c r="E36" s="292"/>
      <c r="F36" s="782" t="s">
        <v>80</v>
      </c>
      <c r="G36" s="783"/>
      <c r="H36" s="18">
        <v>-0.25</v>
      </c>
      <c r="I36" s="18">
        <v>-0.5</v>
      </c>
      <c r="J36" s="18">
        <v>-0.5</v>
      </c>
      <c r="K36" s="18">
        <v>-0.5</v>
      </c>
      <c r="L36" s="18">
        <v>-0.5</v>
      </c>
      <c r="M36" s="18">
        <v>-0.75</v>
      </c>
      <c r="N36" s="18">
        <v>-0.75</v>
      </c>
      <c r="O36" s="19">
        <v>-1.5</v>
      </c>
      <c r="P36" s="292"/>
      <c r="Q36" s="964" t="s">
        <v>77</v>
      </c>
      <c r="R36" s="965"/>
      <c r="S36" s="925"/>
      <c r="T36" s="439" t="e">
        <f>SUM($T$12:$T$35)</f>
        <v>#N/A</v>
      </c>
      <c r="U36" s="292"/>
      <c r="V36" s="17"/>
    </row>
    <row r="37" spans="1:26" ht="15.75" customHeight="1" x14ac:dyDescent="0.25">
      <c r="A37" s="292"/>
      <c r="B37" s="276">
        <v>9.625</v>
      </c>
      <c r="C37" s="18">
        <v>104.72550000000004</v>
      </c>
      <c r="D37" s="18">
        <v>100.97499999999999</v>
      </c>
      <c r="E37" s="292"/>
      <c r="F37" s="782" t="s">
        <v>82</v>
      </c>
      <c r="G37" s="783"/>
      <c r="H37" s="18">
        <v>0</v>
      </c>
      <c r="I37" s="18">
        <v>0</v>
      </c>
      <c r="J37" s="18">
        <v>0</v>
      </c>
      <c r="K37" s="18">
        <v>0</v>
      </c>
      <c r="L37" s="18">
        <v>0</v>
      </c>
      <c r="M37" s="18">
        <v>0</v>
      </c>
      <c r="N37" s="18">
        <v>0</v>
      </c>
      <c r="O37" s="19">
        <v>-0.25</v>
      </c>
      <c r="P37" s="292"/>
      <c r="Q37" s="923" t="s">
        <v>79</v>
      </c>
      <c r="R37" s="924"/>
      <c r="S37" s="925"/>
      <c r="T37" s="438" t="e">
        <f>IF(
   AND($S$24='Feed(DSCR)'!$K$10, $S$17='Feed(DSCR)'!$D$3),
   INDEX($B$11:$D$50, MATCH($S$10,$B$11:$B$50,0), MATCH($S$24,$B$10:$D$10,0)),
   INDEX($B$11:$D$50, MATCH($S$10,$B$11:$B$50,0), MATCH($S$17,$B$10:$D$10,0))
)</f>
        <v>#N/A</v>
      </c>
      <c r="U37" s="292"/>
      <c r="V37" s="17"/>
      <c r="Z37" s="24"/>
    </row>
    <row r="38" spans="1:26" ht="15.75" customHeight="1" x14ac:dyDescent="0.25">
      <c r="A38" s="292"/>
      <c r="B38" s="276">
        <v>9.75</v>
      </c>
      <c r="C38" s="18">
        <v>104.85050000000004</v>
      </c>
      <c r="D38" s="18">
        <v>101.22499999999999</v>
      </c>
      <c r="E38" s="292"/>
      <c r="F38" s="782" t="s">
        <v>84</v>
      </c>
      <c r="G38" s="783"/>
      <c r="H38" s="18">
        <v>0.25</v>
      </c>
      <c r="I38" s="18">
        <v>0.25</v>
      </c>
      <c r="J38" s="18">
        <v>0.25</v>
      </c>
      <c r="K38" s="18">
        <v>0.25</v>
      </c>
      <c r="L38" s="18">
        <v>0.25</v>
      </c>
      <c r="M38" s="18">
        <v>0.25</v>
      </c>
      <c r="N38" s="18">
        <v>0.25</v>
      </c>
      <c r="O38" s="19">
        <v>0.25</v>
      </c>
      <c r="P38" s="292"/>
      <c r="Q38" s="923" t="s">
        <v>81</v>
      </c>
      <c r="R38" s="924"/>
      <c r="S38" s="925"/>
      <c r="T38" s="438" t="str">
        <f>IFERROR(IF(AND(S19='Feed(DSCR)'!$P$6,S10&lt;R70),"Minimum Rate",IF(AND($S$10&lt;&gt;'Feed(DSCR)'!$K$134,T39=R67),NA(),T37+T36+Q85)),"Minimum Rate")</f>
        <v>Minimum Rate</v>
      </c>
      <c r="U38" s="292"/>
      <c r="V38" s="17"/>
    </row>
    <row r="39" spans="1:26" ht="15.75" customHeight="1" x14ac:dyDescent="0.25">
      <c r="A39" s="292"/>
      <c r="B39" s="276">
        <v>9.875</v>
      </c>
      <c r="C39" s="18">
        <v>104.97550000000004</v>
      </c>
      <c r="D39" s="18">
        <v>101.47499999999999</v>
      </c>
      <c r="E39" s="292"/>
      <c r="F39" s="622" t="s">
        <v>86</v>
      </c>
      <c r="G39" s="623"/>
      <c r="H39" s="18">
        <v>0.375</v>
      </c>
      <c r="I39" s="18">
        <v>0.25</v>
      </c>
      <c r="J39" s="18">
        <v>0.25</v>
      </c>
      <c r="K39" s="18">
        <v>0.25</v>
      </c>
      <c r="L39" s="18">
        <v>0.25</v>
      </c>
      <c r="M39" s="18">
        <v>0</v>
      </c>
      <c r="N39" s="18">
        <v>0</v>
      </c>
      <c r="O39" s="19">
        <v>0</v>
      </c>
      <c r="P39" s="292"/>
      <c r="Q39" s="923" t="s">
        <v>83</v>
      </c>
      <c r="R39" s="924"/>
      <c r="S39" s="925"/>
      <c r="T39" s="438" t="e">
        <f>IF(OR('Feed(DSCR)'!$E$147=0, ISERROR('Feed(DSCR)'!$E$147)), NA(), 'Feed(DSCR)'!$E$147)</f>
        <v>#N/A</v>
      </c>
      <c r="U39" s="292"/>
      <c r="V39" s="17"/>
    </row>
    <row r="40" spans="1:26" ht="14.25" customHeight="1" x14ac:dyDescent="0.25">
      <c r="A40" s="292"/>
      <c r="B40" s="276">
        <v>9.9990000000000006</v>
      </c>
      <c r="C40" s="18">
        <v>105.10050000000004</v>
      </c>
      <c r="D40" s="18">
        <v>101.72499999999999</v>
      </c>
      <c r="E40" s="292"/>
      <c r="F40" s="622" t="s">
        <v>87</v>
      </c>
      <c r="G40" s="623"/>
      <c r="H40" s="18">
        <v>0</v>
      </c>
      <c r="I40" s="18">
        <v>0</v>
      </c>
      <c r="J40" s="18">
        <v>0</v>
      </c>
      <c r="K40" s="18">
        <v>0</v>
      </c>
      <c r="L40" s="18">
        <v>0</v>
      </c>
      <c r="M40" s="18">
        <v>0</v>
      </c>
      <c r="N40" s="18">
        <v>0</v>
      </c>
      <c r="O40" s="19">
        <v>0</v>
      </c>
      <c r="P40" s="292"/>
      <c r="Q40" s="766" t="s">
        <v>85</v>
      </c>
      <c r="R40" s="767"/>
      <c r="S40" s="768"/>
      <c r="T40" s="200" t="e">
        <f>IF(OR($T$36="#NA",$T$37="#NA"),NA(),IF(AND($S$10&lt;&gt;'Feed(DSCR)'!$K$134,$T$39=$R$67),NA(),IF($T$38&gt;$T$39,$T$39,$T$38)))</f>
        <v>#N/A</v>
      </c>
      <c r="U40" s="292"/>
      <c r="V40" s="17"/>
    </row>
    <row r="41" spans="1:26" ht="14.25" customHeight="1" x14ac:dyDescent="0.25">
      <c r="A41" s="292"/>
      <c r="B41" s="276">
        <v>10.125</v>
      </c>
      <c r="C41" s="18">
        <v>105.22550000000004</v>
      </c>
      <c r="D41" s="18">
        <v>101.97499999999999</v>
      </c>
      <c r="E41" s="292"/>
      <c r="F41" s="622" t="s">
        <v>89</v>
      </c>
      <c r="G41" s="623"/>
      <c r="H41" s="18">
        <v>-0.125</v>
      </c>
      <c r="I41" s="18">
        <v>-0.125</v>
      </c>
      <c r="J41" s="18">
        <v>-0.125</v>
      </c>
      <c r="K41" s="18">
        <v>-0.25</v>
      </c>
      <c r="L41" s="18">
        <v>-0.25</v>
      </c>
      <c r="M41" s="18">
        <v>-0.25</v>
      </c>
      <c r="N41" s="18">
        <v>-0.5</v>
      </c>
      <c r="O41" s="19" t="e">
        <v>#N/A</v>
      </c>
      <c r="P41" s="292"/>
      <c r="Q41" s="766" t="str" cm="1">
        <f t="array" ref="Q41">IF(OR($S$11:$S$25="Choose a Selection"),"",CONCATENATE('Feed(DSCR)'!$I$134," ",'Feed(DSCR)'!$K$134,"%"&amp;" @ "&amp;'Feed(DSCR)'!$L$134))</f>
        <v/>
      </c>
      <c r="R41" s="767"/>
      <c r="S41" s="767"/>
      <c r="T41" s="774"/>
      <c r="U41" s="292"/>
      <c r="V41" s="17"/>
    </row>
    <row r="42" spans="1:26" ht="15.75" customHeight="1" thickBot="1" x14ac:dyDescent="0.3">
      <c r="A42" s="292"/>
      <c r="B42" s="276">
        <v>10.25</v>
      </c>
      <c r="C42" s="18">
        <v>105.35050000000004</v>
      </c>
      <c r="D42" s="18">
        <v>102.22499999999999</v>
      </c>
      <c r="E42" s="292"/>
      <c r="F42" s="622" t="s">
        <v>90</v>
      </c>
      <c r="G42" s="623"/>
      <c r="H42" s="18">
        <v>-0.375</v>
      </c>
      <c r="I42" s="18">
        <v>-0.375</v>
      </c>
      <c r="J42" s="18">
        <v>-0.5</v>
      </c>
      <c r="K42" s="18">
        <v>-0.5</v>
      </c>
      <c r="L42" s="18">
        <v>-0.5</v>
      </c>
      <c r="M42" s="18">
        <v>-0.5</v>
      </c>
      <c r="N42" s="18">
        <v>-0.75</v>
      </c>
      <c r="O42" s="19" t="e">
        <v>#N/A</v>
      </c>
      <c r="P42" s="292"/>
      <c r="Q42" s="875" t="s">
        <v>759</v>
      </c>
      <c r="R42" s="876"/>
      <c r="S42" s="876"/>
      <c r="T42" s="876"/>
      <c r="U42" s="292"/>
      <c r="V42" s="17"/>
    </row>
    <row r="43" spans="1:26" ht="14.25" customHeight="1" thickBot="1" x14ac:dyDescent="0.3">
      <c r="A43" s="292"/>
      <c r="B43" s="276">
        <v>10.375</v>
      </c>
      <c r="C43" s="18">
        <v>105.47550000000004</v>
      </c>
      <c r="D43" s="18">
        <v>102.47499999999999</v>
      </c>
      <c r="E43" s="292"/>
      <c r="F43" s="622" t="s">
        <v>91</v>
      </c>
      <c r="G43" s="623"/>
      <c r="H43" s="18">
        <v>-1</v>
      </c>
      <c r="I43" s="18">
        <v>-1</v>
      </c>
      <c r="J43" s="18">
        <v>-1</v>
      </c>
      <c r="K43" s="18">
        <v>-1</v>
      </c>
      <c r="L43" s="18">
        <v>-1.25</v>
      </c>
      <c r="M43" s="18">
        <v>-1.5</v>
      </c>
      <c r="N43" s="18" t="e">
        <v>#N/A</v>
      </c>
      <c r="O43" s="19" t="e">
        <v>#N/A</v>
      </c>
      <c r="P43" s="292"/>
      <c r="Q43" s="877" t="s">
        <v>760</v>
      </c>
      <c r="R43" s="878"/>
      <c r="S43" s="879">
        <v>500000</v>
      </c>
      <c r="T43" s="880"/>
      <c r="U43" s="292"/>
      <c r="V43" s="17"/>
    </row>
    <row r="44" spans="1:26" ht="15.75" customHeight="1" thickBot="1" x14ac:dyDescent="0.3">
      <c r="A44" s="292"/>
      <c r="B44" s="276">
        <v>10.499000000000001</v>
      </c>
      <c r="C44" s="18">
        <v>105.60050000000004</v>
      </c>
      <c r="D44" s="18">
        <v>102.72499999999999</v>
      </c>
      <c r="E44" s="292"/>
      <c r="F44" s="622" t="s">
        <v>92</v>
      </c>
      <c r="G44" s="623"/>
      <c r="H44" s="18">
        <v>-2</v>
      </c>
      <c r="I44" s="18">
        <v>-2.25</v>
      </c>
      <c r="J44" s="18">
        <v>-2.5</v>
      </c>
      <c r="K44" s="18">
        <v>-3</v>
      </c>
      <c r="L44" s="18" t="e">
        <v>#N/A</v>
      </c>
      <c r="M44" s="18" t="e">
        <v>#N/A</v>
      </c>
      <c r="N44" s="18" t="e">
        <v>#N/A</v>
      </c>
      <c r="O44" s="19" t="e">
        <v>#N/A</v>
      </c>
      <c r="P44" s="292"/>
      <c r="Q44" s="877" t="s">
        <v>761</v>
      </c>
      <c r="R44" s="878"/>
      <c r="S44" s="461">
        <v>2.25</v>
      </c>
      <c r="T44" s="463">
        <f>S44/100*S43</f>
        <v>11250</v>
      </c>
      <c r="U44" s="292"/>
      <c r="V44" s="17"/>
    </row>
    <row r="45" spans="1:26" ht="14.25" customHeight="1" thickBot="1" x14ac:dyDescent="0.3">
      <c r="A45" s="292"/>
      <c r="B45" s="276">
        <v>10.625</v>
      </c>
      <c r="C45" s="18">
        <v>105.72550000000004</v>
      </c>
      <c r="D45" s="18">
        <v>102.97499999999999</v>
      </c>
      <c r="E45" s="292"/>
      <c r="F45" s="903" t="s">
        <v>185</v>
      </c>
      <c r="G45" s="904"/>
      <c r="H45" s="904"/>
      <c r="I45" s="904"/>
      <c r="J45" s="904"/>
      <c r="K45" s="904"/>
      <c r="L45" s="904"/>
      <c r="M45" s="904"/>
      <c r="N45" s="904"/>
      <c r="O45" s="905"/>
      <c r="P45" s="292"/>
      <c r="Q45" s="877" t="s">
        <v>762</v>
      </c>
      <c r="R45" s="878"/>
      <c r="S45" s="462"/>
      <c r="T45" s="464">
        <f>S45/S43*100</f>
        <v>0</v>
      </c>
      <c r="U45" s="292"/>
      <c r="V45" s="17"/>
    </row>
    <row r="46" spans="1:26" ht="14.25" customHeight="1" thickBot="1" x14ac:dyDescent="0.3">
      <c r="A46" s="292"/>
      <c r="B46" s="276">
        <v>10.75</v>
      </c>
      <c r="C46" s="18">
        <v>105.85050000000004</v>
      </c>
      <c r="D46" s="18">
        <v>103.22499999999999</v>
      </c>
      <c r="E46" s="292"/>
      <c r="F46" s="782" t="s">
        <v>98</v>
      </c>
      <c r="G46" s="783"/>
      <c r="H46" s="18">
        <v>-1</v>
      </c>
      <c r="I46" s="18">
        <v>-1</v>
      </c>
      <c r="J46" s="18">
        <v>-1</v>
      </c>
      <c r="K46" s="18">
        <v>-1</v>
      </c>
      <c r="L46" s="18">
        <v>-1</v>
      </c>
      <c r="M46" s="18">
        <v>-1.5</v>
      </c>
      <c r="N46" s="18" t="e">
        <v>#N/A</v>
      </c>
      <c r="O46" s="19" t="e">
        <v>#N/A</v>
      </c>
      <c r="P46" s="292"/>
      <c r="Q46" s="877" t="s">
        <v>763</v>
      </c>
      <c r="R46" s="878"/>
      <c r="S46" s="877">
        <f>S44+T45</f>
        <v>2.25</v>
      </c>
      <c r="T46" s="878"/>
      <c r="U46" s="292"/>
      <c r="V46" s="17"/>
    </row>
    <row r="47" spans="1:26" ht="14.25" customHeight="1" x14ac:dyDescent="0.25">
      <c r="A47" s="292"/>
      <c r="B47" s="276"/>
      <c r="C47" s="276"/>
      <c r="D47" s="276"/>
      <c r="E47" s="292"/>
      <c r="F47" s="782" t="s">
        <v>186</v>
      </c>
      <c r="G47" s="783"/>
      <c r="H47" s="18">
        <v>-0.5</v>
      </c>
      <c r="I47" s="18">
        <v>-0.5</v>
      </c>
      <c r="J47" s="18">
        <v>-0.5</v>
      </c>
      <c r="K47" s="18">
        <v>-0.5</v>
      </c>
      <c r="L47" s="18">
        <v>-0.5</v>
      </c>
      <c r="M47" s="18">
        <v>-0.625</v>
      </c>
      <c r="N47" s="18">
        <v>-0.75</v>
      </c>
      <c r="O47" s="19" t="e">
        <v>#N/A</v>
      </c>
      <c r="P47" s="292"/>
      <c r="Q47" s="871" t="s">
        <v>764</v>
      </c>
      <c r="R47" s="872"/>
      <c r="S47" s="873" t="e">
        <f>T40-S46+S48+T48+S49</f>
        <v>#N/A</v>
      </c>
      <c r="T47" s="874"/>
      <c r="U47" s="292"/>
      <c r="V47" s="17"/>
    </row>
    <row r="48" spans="1:26" ht="15.75" customHeight="1" x14ac:dyDescent="0.25">
      <c r="A48" s="292"/>
      <c r="B48" s="276"/>
      <c r="C48" s="276"/>
      <c r="D48" s="276"/>
      <c r="E48" s="292"/>
      <c r="F48" s="782" t="s">
        <v>99</v>
      </c>
      <c r="G48" s="783"/>
      <c r="H48" s="18">
        <v>0</v>
      </c>
      <c r="I48" s="18">
        <v>0</v>
      </c>
      <c r="J48" s="18">
        <v>0</v>
      </c>
      <c r="K48" s="18">
        <v>0</v>
      </c>
      <c r="L48" s="18">
        <v>0</v>
      </c>
      <c r="M48" s="18">
        <v>0</v>
      </c>
      <c r="N48" s="18">
        <v>0</v>
      </c>
      <c r="O48" s="19" t="e">
        <v>#N/A</v>
      </c>
      <c r="P48" s="292"/>
      <c r="Q48" s="960" t="s">
        <v>942</v>
      </c>
      <c r="R48" s="960"/>
      <c r="S48" s="609"/>
      <c r="T48" s="610"/>
      <c r="U48" s="292"/>
      <c r="V48" s="17"/>
    </row>
    <row r="49" spans="1:22" ht="15.75" customHeight="1" x14ac:dyDescent="0.25">
      <c r="A49" s="292"/>
      <c r="B49" s="276"/>
      <c r="C49" s="276"/>
      <c r="D49" s="276"/>
      <c r="E49" s="292"/>
      <c r="F49" s="782" t="s">
        <v>100</v>
      </c>
      <c r="G49" s="783"/>
      <c r="H49" s="18">
        <v>-0.25</v>
      </c>
      <c r="I49" s="18">
        <v>-0.25</v>
      </c>
      <c r="J49" s="18">
        <v>-0.25</v>
      </c>
      <c r="K49" s="18">
        <v>-0.25</v>
      </c>
      <c r="L49" s="18">
        <v>-0.25</v>
      </c>
      <c r="M49" s="18">
        <v>-0.25</v>
      </c>
      <c r="N49" s="18">
        <v>-0.25</v>
      </c>
      <c r="O49" s="19" t="e">
        <v>#N/A</v>
      </c>
      <c r="P49" s="292"/>
      <c r="Q49" s="960" t="s">
        <v>943</v>
      </c>
      <c r="R49" s="960"/>
      <c r="S49" s="917"/>
      <c r="T49" s="918"/>
      <c r="U49" s="292"/>
      <c r="V49" s="17"/>
    </row>
    <row r="50" spans="1:22" ht="15.75" customHeight="1" x14ac:dyDescent="0.25">
      <c r="A50" s="292"/>
      <c r="B50" s="276"/>
      <c r="C50" s="276"/>
      <c r="D50" s="276"/>
      <c r="E50" s="292"/>
      <c r="F50" s="908" t="s">
        <v>58</v>
      </c>
      <c r="G50" s="909"/>
      <c r="H50" s="909"/>
      <c r="I50" s="909"/>
      <c r="J50" s="909"/>
      <c r="K50" s="909"/>
      <c r="L50" s="909"/>
      <c r="M50" s="909"/>
      <c r="N50" s="909"/>
      <c r="O50" s="910"/>
      <c r="P50" s="292"/>
      <c r="Q50" s="901" t="s">
        <v>868</v>
      </c>
      <c r="R50" s="901"/>
      <c r="S50" s="901"/>
      <c r="T50" s="901"/>
      <c r="U50" s="292"/>
      <c r="V50" s="17"/>
    </row>
    <row r="51" spans="1:22" ht="13.5" customHeight="1" x14ac:dyDescent="0.25">
      <c r="A51" s="292"/>
      <c r="B51" s="332"/>
      <c r="C51" s="332"/>
      <c r="D51" s="332"/>
      <c r="E51" s="292"/>
      <c r="F51" s="622" t="s">
        <v>102</v>
      </c>
      <c r="G51" s="623"/>
      <c r="H51" s="67">
        <v>-1</v>
      </c>
      <c r="I51" s="67">
        <v>-1</v>
      </c>
      <c r="J51" s="67">
        <v>-1</v>
      </c>
      <c r="K51" s="67">
        <v>-1</v>
      </c>
      <c r="L51" s="67">
        <v>-1</v>
      </c>
      <c r="M51" s="67">
        <v>-1</v>
      </c>
      <c r="N51" s="67">
        <v>-1</v>
      </c>
      <c r="O51" s="68" t="e">
        <v>#N/A</v>
      </c>
      <c r="P51" s="292"/>
      <c r="Q51" s="901"/>
      <c r="R51" s="901"/>
      <c r="S51" s="901"/>
      <c r="T51" s="901"/>
      <c r="U51" s="292"/>
    </row>
    <row r="52" spans="1:22" ht="15.75" customHeight="1" x14ac:dyDescent="0.25">
      <c r="A52" s="292"/>
      <c r="B52" s="333"/>
      <c r="C52" s="333"/>
      <c r="D52" s="333"/>
      <c r="E52" s="292"/>
      <c r="F52" s="622" t="s">
        <v>107</v>
      </c>
      <c r="G52" s="623"/>
      <c r="H52" s="67">
        <v>-1.75</v>
      </c>
      <c r="I52" s="67">
        <v>-1.75</v>
      </c>
      <c r="J52" s="67">
        <v>-1.75</v>
      </c>
      <c r="K52" s="67">
        <v>-1.75</v>
      </c>
      <c r="L52" s="67">
        <v>-1.75</v>
      </c>
      <c r="M52" s="67">
        <v>-1.75</v>
      </c>
      <c r="N52" s="67">
        <v>-1.75</v>
      </c>
      <c r="O52" s="68" t="e">
        <v>#N/A</v>
      </c>
      <c r="P52" s="292"/>
      <c r="Q52" s="901"/>
      <c r="R52" s="901"/>
      <c r="S52" s="901"/>
      <c r="T52" s="901"/>
      <c r="U52" s="292"/>
    </row>
    <row r="53" spans="1:22" x14ac:dyDescent="0.25">
      <c r="A53" s="292"/>
      <c r="B53" s="334"/>
      <c r="C53" s="334"/>
      <c r="D53" s="334"/>
      <c r="E53" s="292"/>
      <c r="F53" s="622" t="s">
        <v>112</v>
      </c>
      <c r="G53" s="623"/>
      <c r="H53" s="67">
        <v>-1</v>
      </c>
      <c r="I53" s="67">
        <v>-1</v>
      </c>
      <c r="J53" s="67">
        <v>-1</v>
      </c>
      <c r="K53" s="67">
        <v>-1</v>
      </c>
      <c r="L53" s="67">
        <v>-1</v>
      </c>
      <c r="M53" s="67">
        <v>-1</v>
      </c>
      <c r="N53" s="67">
        <v>-1</v>
      </c>
      <c r="O53" s="68">
        <v>-1</v>
      </c>
      <c r="P53" s="292"/>
      <c r="Q53" s="901" t="s">
        <v>94</v>
      </c>
      <c r="R53" s="901"/>
      <c r="S53" s="901"/>
      <c r="T53" s="902"/>
      <c r="U53" s="292"/>
    </row>
    <row r="54" spans="1:22" ht="15.75" customHeight="1" x14ac:dyDescent="0.25">
      <c r="A54" s="292"/>
      <c r="B54" s="335"/>
      <c r="C54" s="335"/>
      <c r="D54" s="335"/>
      <c r="E54" s="292"/>
      <c r="F54" s="622" t="s">
        <v>116</v>
      </c>
      <c r="G54" s="623"/>
      <c r="H54" s="67">
        <v>-0.25</v>
      </c>
      <c r="I54" s="67">
        <v>-0.25</v>
      </c>
      <c r="J54" s="67">
        <v>-0.25</v>
      </c>
      <c r="K54" s="67">
        <v>-0.25</v>
      </c>
      <c r="L54" s="67">
        <v>-0.25</v>
      </c>
      <c r="M54" s="67">
        <v>-0.75</v>
      </c>
      <c r="N54" s="67">
        <v>-0.75</v>
      </c>
      <c r="O54" s="68">
        <v>-0.75</v>
      </c>
      <c r="P54" s="292"/>
      <c r="Q54" s="901"/>
      <c r="R54" s="901"/>
      <c r="S54" s="901"/>
      <c r="T54" s="902"/>
      <c r="U54" s="292"/>
    </row>
    <row r="55" spans="1:22" ht="15.75" customHeight="1" x14ac:dyDescent="0.25">
      <c r="A55" s="292"/>
      <c r="B55" s="959" t="s">
        <v>64</v>
      </c>
      <c r="C55" s="959"/>
      <c r="D55" s="282" t="s">
        <v>101</v>
      </c>
      <c r="E55" s="292"/>
      <c r="F55" s="622" t="s">
        <v>121</v>
      </c>
      <c r="G55" s="623"/>
      <c r="H55" s="67">
        <v>0.25</v>
      </c>
      <c r="I55" s="67">
        <v>0.125</v>
      </c>
      <c r="J55" s="67">
        <v>0.125</v>
      </c>
      <c r="K55" s="67">
        <v>0.125</v>
      </c>
      <c r="L55" s="67">
        <v>0.125</v>
      </c>
      <c r="M55" s="67">
        <v>0.125</v>
      </c>
      <c r="N55" s="67">
        <v>0.125</v>
      </c>
      <c r="O55" s="67">
        <v>6.25E-2</v>
      </c>
      <c r="P55" s="292"/>
      <c r="Q55" s="956" t="s">
        <v>103</v>
      </c>
      <c r="R55" s="919"/>
      <c r="S55" s="282" t="s">
        <v>62</v>
      </c>
      <c r="T55" s="282" t="s">
        <v>101</v>
      </c>
      <c r="U55" s="292"/>
    </row>
    <row r="56" spans="1:22" ht="15.75" customHeight="1" x14ac:dyDescent="0.25">
      <c r="A56" s="292"/>
      <c r="B56" s="662" t="s">
        <v>106</v>
      </c>
      <c r="C56" s="662"/>
      <c r="D56" s="69">
        <v>-0.25</v>
      </c>
      <c r="E56" s="292"/>
      <c r="F56" s="622" t="s">
        <v>125</v>
      </c>
      <c r="G56" s="623"/>
      <c r="H56" s="67">
        <v>0.375</v>
      </c>
      <c r="I56" s="67">
        <v>0.25</v>
      </c>
      <c r="J56" s="67">
        <v>0.25</v>
      </c>
      <c r="K56" s="67">
        <v>0.25</v>
      </c>
      <c r="L56" s="67">
        <v>0.25</v>
      </c>
      <c r="M56" s="67">
        <v>0.25</v>
      </c>
      <c r="N56" s="67">
        <v>0.25</v>
      </c>
      <c r="O56" s="67">
        <v>0.125</v>
      </c>
      <c r="P56" s="292"/>
      <c r="Q56" s="70" t="s">
        <v>825</v>
      </c>
      <c r="R56" s="40">
        <v>102</v>
      </c>
      <c r="S56" s="71" t="s">
        <v>187</v>
      </c>
      <c r="T56" s="72">
        <v>-0.25</v>
      </c>
      <c r="U56" s="292"/>
    </row>
    <row r="57" spans="1:22" ht="15.75" customHeight="1" x14ac:dyDescent="0.25">
      <c r="A57" s="292"/>
      <c r="B57" s="957" t="s">
        <v>111</v>
      </c>
      <c r="C57" s="958"/>
      <c r="D57" s="615">
        <v>-0.5</v>
      </c>
      <c r="E57" s="292"/>
      <c r="F57" s="622" t="s">
        <v>129</v>
      </c>
      <c r="G57" s="623"/>
      <c r="H57" s="67">
        <v>0.75</v>
      </c>
      <c r="I57" s="67">
        <v>0.625</v>
      </c>
      <c r="J57" s="67">
        <v>0.625</v>
      </c>
      <c r="K57" s="67">
        <v>0.625</v>
      </c>
      <c r="L57" s="67">
        <v>0.625</v>
      </c>
      <c r="M57" s="67">
        <v>0.625</v>
      </c>
      <c r="N57" s="67">
        <v>0.625</v>
      </c>
      <c r="O57" s="67">
        <v>0.5</v>
      </c>
      <c r="P57" s="292"/>
      <c r="Q57" s="70" t="s">
        <v>89</v>
      </c>
      <c r="R57" s="73">
        <v>100.25</v>
      </c>
      <c r="S57" s="71" t="s">
        <v>188</v>
      </c>
      <c r="T57" s="74">
        <v>-0.25</v>
      </c>
      <c r="U57" s="292"/>
    </row>
    <row r="58" spans="1:22" x14ac:dyDescent="0.25">
      <c r="A58" s="292"/>
      <c r="B58" s="946" t="s">
        <v>115</v>
      </c>
      <c r="C58" s="947"/>
      <c r="D58" s="947"/>
      <c r="E58" s="292"/>
      <c r="F58" s="622" t="s">
        <v>131</v>
      </c>
      <c r="G58" s="623"/>
      <c r="H58" s="67">
        <v>-0.75</v>
      </c>
      <c r="I58" s="67">
        <v>-0.75</v>
      </c>
      <c r="J58" s="67">
        <v>-0.75</v>
      </c>
      <c r="K58" s="67">
        <v>-0.75</v>
      </c>
      <c r="L58" s="67">
        <v>-0.75</v>
      </c>
      <c r="M58" s="67">
        <v>-0.75</v>
      </c>
      <c r="N58" s="67">
        <v>-0.75</v>
      </c>
      <c r="O58" s="68">
        <v>-0.75</v>
      </c>
      <c r="P58" s="292"/>
      <c r="Q58" s="70" t="s">
        <v>90</v>
      </c>
      <c r="R58" s="73">
        <v>100</v>
      </c>
      <c r="S58" s="71" t="s">
        <v>189</v>
      </c>
      <c r="T58" s="74">
        <v>-0.25</v>
      </c>
      <c r="U58" s="292"/>
      <c r="V58" s="3"/>
    </row>
    <row r="59" spans="1:22" ht="15.75" customHeight="1" x14ac:dyDescent="0.25">
      <c r="A59" s="292"/>
      <c r="B59" s="667" t="s">
        <v>947</v>
      </c>
      <c r="C59" s="668"/>
      <c r="D59" s="668"/>
      <c r="E59" s="292"/>
      <c r="F59" s="622" t="s">
        <v>133</v>
      </c>
      <c r="G59" s="623"/>
      <c r="H59" s="67">
        <v>0</v>
      </c>
      <c r="I59" s="67">
        <v>0</v>
      </c>
      <c r="J59" s="67">
        <v>0</v>
      </c>
      <c r="K59" s="67">
        <v>0</v>
      </c>
      <c r="L59" s="67">
        <v>0</v>
      </c>
      <c r="M59" s="67">
        <v>0</v>
      </c>
      <c r="N59" s="67">
        <v>0</v>
      </c>
      <c r="O59" s="68">
        <v>-0.25</v>
      </c>
      <c r="P59" s="292"/>
      <c r="Q59" s="70" t="s">
        <v>117</v>
      </c>
      <c r="R59" s="73">
        <v>100.5</v>
      </c>
      <c r="S59" s="71" t="s">
        <v>191</v>
      </c>
      <c r="T59" s="74">
        <v>-0.25</v>
      </c>
      <c r="U59" s="292"/>
      <c r="V59" s="3"/>
    </row>
    <row r="60" spans="1:22" x14ac:dyDescent="0.25">
      <c r="A60" s="292"/>
      <c r="B60" s="667"/>
      <c r="C60" s="668"/>
      <c r="D60" s="668"/>
      <c r="E60" s="292"/>
      <c r="F60" s="622" t="s">
        <v>136</v>
      </c>
      <c r="G60" s="623"/>
      <c r="H60" s="67">
        <v>0.375</v>
      </c>
      <c r="I60" s="67">
        <v>0.375</v>
      </c>
      <c r="J60" s="67">
        <v>0.375</v>
      </c>
      <c r="K60" s="67">
        <v>0.375</v>
      </c>
      <c r="L60" s="67">
        <v>0.375</v>
      </c>
      <c r="M60" s="67">
        <v>0.375</v>
      </c>
      <c r="N60" s="67">
        <v>0.375</v>
      </c>
      <c r="O60" s="68">
        <v>0.375</v>
      </c>
      <c r="P60" s="292"/>
      <c r="Q60" s="70" t="s">
        <v>122</v>
      </c>
      <c r="R60" s="73">
        <v>100</v>
      </c>
      <c r="S60" s="71" t="s">
        <v>192</v>
      </c>
      <c r="T60" s="74">
        <v>-0.25</v>
      </c>
      <c r="U60" s="292"/>
      <c r="V60" s="3"/>
    </row>
    <row r="61" spans="1:22" ht="15.75" customHeight="1" x14ac:dyDescent="0.25">
      <c r="A61" s="292"/>
      <c r="B61" s="667"/>
      <c r="C61" s="668"/>
      <c r="D61" s="668"/>
      <c r="E61" s="292"/>
      <c r="F61" s="622" t="s">
        <v>138</v>
      </c>
      <c r="G61" s="623"/>
      <c r="H61" s="67">
        <v>0.625</v>
      </c>
      <c r="I61" s="67">
        <v>0.42499999999999999</v>
      </c>
      <c r="J61" s="67">
        <v>0.42499999999999999</v>
      </c>
      <c r="K61" s="67">
        <v>0.42499999999999999</v>
      </c>
      <c r="L61" s="67">
        <v>0.42499999999999999</v>
      </c>
      <c r="M61" s="67">
        <v>0.42499999999999999</v>
      </c>
      <c r="N61" s="67">
        <v>0.42499999999999999</v>
      </c>
      <c r="O61" s="68">
        <v>0.42499999999999999</v>
      </c>
      <c r="P61" s="292"/>
      <c r="Q61" s="70" t="s">
        <v>126</v>
      </c>
      <c r="R61" s="73">
        <v>100</v>
      </c>
      <c r="S61" s="71" t="s">
        <v>193</v>
      </c>
      <c r="T61" s="74">
        <v>-0.25</v>
      </c>
      <c r="U61" s="292"/>
      <c r="V61" s="3"/>
    </row>
    <row r="62" spans="1:22" ht="15.75" customHeight="1" x14ac:dyDescent="0.25">
      <c r="A62" s="292"/>
      <c r="B62" s="667"/>
      <c r="C62" s="668"/>
      <c r="D62" s="668"/>
      <c r="E62" s="292"/>
      <c r="F62" s="622" t="s">
        <v>141</v>
      </c>
      <c r="G62" s="623"/>
      <c r="H62" s="67">
        <v>1</v>
      </c>
      <c r="I62" s="67">
        <v>0.75</v>
      </c>
      <c r="J62" s="67">
        <v>0.75</v>
      </c>
      <c r="K62" s="67">
        <v>0.75</v>
      </c>
      <c r="L62" s="67">
        <v>0.75</v>
      </c>
      <c r="M62" s="67">
        <v>0.75</v>
      </c>
      <c r="N62" s="67">
        <v>0.75</v>
      </c>
      <c r="O62" s="68">
        <v>0.75</v>
      </c>
      <c r="P62" s="292"/>
      <c r="Q62" s="70" t="s">
        <v>130</v>
      </c>
      <c r="R62" s="73">
        <v>100</v>
      </c>
      <c r="S62" s="282" t="s">
        <v>104</v>
      </c>
      <c r="T62" s="282" t="s">
        <v>101</v>
      </c>
      <c r="U62" s="292"/>
      <c r="V62" s="3"/>
    </row>
    <row r="63" spans="1:22" ht="15.75" customHeight="1" x14ac:dyDescent="0.25">
      <c r="A63" s="292"/>
      <c r="B63" s="667"/>
      <c r="C63" s="668"/>
      <c r="D63" s="668"/>
      <c r="E63" s="292"/>
      <c r="F63" s="908" t="s">
        <v>143</v>
      </c>
      <c r="G63" s="909"/>
      <c r="H63" s="909"/>
      <c r="I63" s="909"/>
      <c r="J63" s="909"/>
      <c r="K63" s="909"/>
      <c r="L63" s="909"/>
      <c r="M63" s="909"/>
      <c r="N63" s="909"/>
      <c r="O63" s="910"/>
      <c r="P63" s="292"/>
      <c r="Q63" s="70" t="s">
        <v>132</v>
      </c>
      <c r="R63" s="73">
        <v>101</v>
      </c>
      <c r="S63" s="37" t="s">
        <v>135</v>
      </c>
      <c r="T63" s="75">
        <v>0.25</v>
      </c>
      <c r="U63" s="292"/>
      <c r="V63" s="3"/>
    </row>
    <row r="64" spans="1:22" ht="15.75" customHeight="1" x14ac:dyDescent="0.25">
      <c r="A64" s="292"/>
      <c r="B64" s="667"/>
      <c r="C64" s="668"/>
      <c r="D64" s="668"/>
      <c r="E64" s="292"/>
      <c r="F64" s="622" t="s">
        <v>145</v>
      </c>
      <c r="G64" s="623"/>
      <c r="H64" s="18">
        <v>-0.375</v>
      </c>
      <c r="I64" s="18">
        <v>-0.375</v>
      </c>
      <c r="J64" s="18">
        <v>-0.375</v>
      </c>
      <c r="K64" s="18">
        <v>-0.375</v>
      </c>
      <c r="L64" s="18">
        <v>-0.5</v>
      </c>
      <c r="M64" s="18">
        <v>-0.5</v>
      </c>
      <c r="N64" s="18">
        <v>-0.5</v>
      </c>
      <c r="O64" s="19" t="e">
        <v>#N/A</v>
      </c>
      <c r="P64" s="292"/>
      <c r="Q64" s="70" t="s">
        <v>824</v>
      </c>
      <c r="R64" s="73">
        <v>101.5</v>
      </c>
      <c r="S64" s="37" t="s">
        <v>53</v>
      </c>
      <c r="T64" s="75">
        <v>0</v>
      </c>
      <c r="U64" s="292"/>
      <c r="V64" s="3"/>
    </row>
    <row r="65" spans="1:35" ht="15.75" customHeight="1" x14ac:dyDescent="0.25">
      <c r="A65" s="292"/>
      <c r="B65" s="667"/>
      <c r="C65" s="668"/>
      <c r="D65" s="668"/>
      <c r="E65" s="292"/>
      <c r="F65" s="622" t="s">
        <v>196</v>
      </c>
      <c r="G65" s="623"/>
      <c r="H65" s="18">
        <v>-0.5</v>
      </c>
      <c r="I65" s="18">
        <v>-0.5</v>
      </c>
      <c r="J65" s="18">
        <v>-0.5</v>
      </c>
      <c r="K65" s="18">
        <v>-0.5</v>
      </c>
      <c r="L65" s="18">
        <v>-0.75</v>
      </c>
      <c r="M65" s="18">
        <v>-0.75</v>
      </c>
      <c r="N65" s="18">
        <v>-0.75</v>
      </c>
      <c r="O65" s="19" t="e">
        <v>#N/A</v>
      </c>
      <c r="P65" s="292"/>
      <c r="Q65" s="70" t="s">
        <v>194</v>
      </c>
      <c r="R65" s="73">
        <v>100</v>
      </c>
      <c r="S65" s="37" t="s">
        <v>140</v>
      </c>
      <c r="T65" s="75">
        <v>-0.5</v>
      </c>
      <c r="U65" s="292"/>
      <c r="V65" s="3"/>
    </row>
    <row r="66" spans="1:35" ht="15.75" customHeight="1" x14ac:dyDescent="0.25">
      <c r="A66" s="292"/>
      <c r="B66" s="667"/>
      <c r="C66" s="668"/>
      <c r="D66" s="668"/>
      <c r="E66" s="292"/>
      <c r="F66" s="622" t="s">
        <v>151</v>
      </c>
      <c r="G66" s="623"/>
      <c r="H66" s="18">
        <v>0</v>
      </c>
      <c r="I66" s="18">
        <v>0</v>
      </c>
      <c r="J66" s="18">
        <v>0</v>
      </c>
      <c r="K66" s="18">
        <v>0</v>
      </c>
      <c r="L66" s="18">
        <v>0</v>
      </c>
      <c r="M66" s="18">
        <v>0</v>
      </c>
      <c r="N66" s="18">
        <v>0</v>
      </c>
      <c r="O66" s="19" t="e">
        <v>#N/A</v>
      </c>
      <c r="P66" s="292"/>
      <c r="Q66" s="70" t="s">
        <v>195</v>
      </c>
      <c r="R66" s="73">
        <v>100</v>
      </c>
      <c r="S66" s="41" t="s">
        <v>142</v>
      </c>
      <c r="T66" s="75">
        <v>0.25</v>
      </c>
      <c r="U66" s="292"/>
      <c r="V66" s="3"/>
    </row>
    <row r="67" spans="1:35" ht="15.75" customHeight="1" x14ac:dyDescent="0.25">
      <c r="A67" s="292"/>
      <c r="B67" s="667"/>
      <c r="C67" s="668"/>
      <c r="D67" s="668"/>
      <c r="E67" s="292"/>
      <c r="F67" s="622" t="s">
        <v>157</v>
      </c>
      <c r="G67" s="623"/>
      <c r="H67" s="18">
        <v>-2</v>
      </c>
      <c r="I67" s="18">
        <v>-2</v>
      </c>
      <c r="J67" s="18">
        <v>-2</v>
      </c>
      <c r="K67" s="18">
        <v>-2</v>
      </c>
      <c r="L67" s="18">
        <v>-2</v>
      </c>
      <c r="M67" s="18">
        <v>-2.5</v>
      </c>
      <c r="N67" s="18" t="e">
        <v>#N/A</v>
      </c>
      <c r="O67" s="19" t="e">
        <v>#N/A</v>
      </c>
      <c r="P67" s="292"/>
      <c r="Q67" s="70"/>
      <c r="R67" s="491">
        <v>0</v>
      </c>
      <c r="S67" s="37" t="s">
        <v>144</v>
      </c>
      <c r="T67" s="75">
        <v>-0.5</v>
      </c>
      <c r="U67" s="292"/>
      <c r="V67" s="3"/>
    </row>
    <row r="68" spans="1:35" x14ac:dyDescent="0.25">
      <c r="A68" s="292"/>
      <c r="B68" s="667"/>
      <c r="C68" s="668"/>
      <c r="D68" s="668"/>
      <c r="E68" s="292"/>
      <c r="F68" s="622" t="s">
        <v>204</v>
      </c>
      <c r="G68" s="623"/>
      <c r="H68" s="18">
        <v>-1.5</v>
      </c>
      <c r="I68" s="18">
        <v>-1.5</v>
      </c>
      <c r="J68" s="18">
        <v>-1.5</v>
      </c>
      <c r="K68" s="18">
        <v>-1.5</v>
      </c>
      <c r="L68" s="18">
        <v>-1.5</v>
      </c>
      <c r="M68" s="18">
        <v>-1.75</v>
      </c>
      <c r="N68" s="18" t="e">
        <v>#N/A</v>
      </c>
      <c r="O68" s="19" t="e">
        <v>#N/A</v>
      </c>
      <c r="P68" s="292"/>
      <c r="Q68" s="956" t="s">
        <v>139</v>
      </c>
      <c r="R68" s="919"/>
      <c r="S68" s="37" t="s">
        <v>147</v>
      </c>
      <c r="T68" s="75">
        <v>0.25</v>
      </c>
      <c r="U68" s="292"/>
      <c r="V68" s="3"/>
      <c r="W68" s="3"/>
      <c r="X68" s="3"/>
      <c r="Y68" s="3"/>
      <c r="Z68" s="3"/>
      <c r="AA68" s="3"/>
      <c r="AB68" s="3"/>
      <c r="AC68" s="3"/>
      <c r="AD68" s="3"/>
      <c r="AE68" s="3"/>
      <c r="AF68" s="3"/>
      <c r="AG68" s="3"/>
      <c r="AH68" s="3"/>
      <c r="AI68" s="3"/>
    </row>
    <row r="69" spans="1:35" x14ac:dyDescent="0.25">
      <c r="A69" s="292"/>
      <c r="B69" s="896" t="s">
        <v>153</v>
      </c>
      <c r="C69" s="897"/>
      <c r="D69" s="897"/>
      <c r="E69" s="292"/>
      <c r="F69" s="622" t="s">
        <v>69</v>
      </c>
      <c r="G69" s="623"/>
      <c r="H69" s="18">
        <v>-0.5</v>
      </c>
      <c r="I69" s="18">
        <v>-0.5</v>
      </c>
      <c r="J69" s="18">
        <v>-0.5</v>
      </c>
      <c r="K69" s="18">
        <v>-0.5</v>
      </c>
      <c r="L69" s="18">
        <v>-0.5</v>
      </c>
      <c r="M69" s="18">
        <v>-0.5</v>
      </c>
      <c r="N69" s="18">
        <v>-0.5</v>
      </c>
      <c r="O69" s="19">
        <v>-0.5</v>
      </c>
      <c r="P69" s="292"/>
      <c r="Q69" s="71" t="s">
        <v>90</v>
      </c>
      <c r="R69" s="76">
        <v>6.99</v>
      </c>
      <c r="S69" s="37" t="s">
        <v>150</v>
      </c>
      <c r="T69" s="75">
        <v>-0.5</v>
      </c>
      <c r="U69" s="292"/>
      <c r="V69" s="3"/>
      <c r="W69" s="3"/>
      <c r="X69" s="3"/>
      <c r="Y69" s="3"/>
      <c r="Z69" s="3"/>
      <c r="AA69" s="3"/>
      <c r="AB69" s="3"/>
      <c r="AC69" s="3"/>
      <c r="AD69" s="3"/>
      <c r="AE69" s="3"/>
      <c r="AF69" s="3"/>
      <c r="AG69" s="3"/>
      <c r="AH69" s="3"/>
      <c r="AI69" s="3"/>
    </row>
    <row r="70" spans="1:35" ht="15.75" customHeight="1" x14ac:dyDescent="0.25">
      <c r="A70" s="292"/>
      <c r="B70" s="624" t="s">
        <v>156</v>
      </c>
      <c r="C70" s="625"/>
      <c r="D70" s="625"/>
      <c r="E70" s="292"/>
      <c r="F70" s="908" t="s">
        <v>33</v>
      </c>
      <c r="G70" s="909"/>
      <c r="H70" s="909"/>
      <c r="I70" s="909"/>
      <c r="J70" s="909"/>
      <c r="K70" s="909"/>
      <c r="L70" s="909"/>
      <c r="M70" s="909"/>
      <c r="N70" s="909"/>
      <c r="O70" s="910"/>
      <c r="P70" s="292"/>
      <c r="Q70" s="77" t="s">
        <v>122</v>
      </c>
      <c r="R70" s="78">
        <v>7.375</v>
      </c>
      <c r="S70" s="282" t="s">
        <v>104</v>
      </c>
      <c r="T70" s="282" t="s">
        <v>105</v>
      </c>
      <c r="U70" s="292"/>
      <c r="V70" s="3"/>
      <c r="W70" s="3"/>
      <c r="X70" s="3"/>
      <c r="Y70" s="3"/>
      <c r="Z70" s="3"/>
      <c r="AA70" s="3"/>
      <c r="AB70" s="3"/>
      <c r="AC70" s="3"/>
      <c r="AD70" s="3"/>
      <c r="AE70" s="3"/>
      <c r="AF70" s="3"/>
      <c r="AG70" s="3"/>
      <c r="AH70" s="3"/>
      <c r="AI70" s="3"/>
    </row>
    <row r="71" spans="1:35" x14ac:dyDescent="0.25">
      <c r="A71" s="292"/>
      <c r="B71" s="946" t="s">
        <v>159</v>
      </c>
      <c r="C71" s="947"/>
      <c r="D71" s="947"/>
      <c r="E71" s="292"/>
      <c r="F71" s="622" t="s">
        <v>34</v>
      </c>
      <c r="G71" s="623"/>
      <c r="H71" s="18">
        <v>0</v>
      </c>
      <c r="I71" s="18">
        <v>0</v>
      </c>
      <c r="J71" s="18">
        <v>0</v>
      </c>
      <c r="K71" s="18">
        <v>0</v>
      </c>
      <c r="L71" s="18">
        <v>0</v>
      </c>
      <c r="M71" s="18">
        <v>0</v>
      </c>
      <c r="N71" s="18">
        <v>0</v>
      </c>
      <c r="O71" s="18">
        <v>0</v>
      </c>
      <c r="P71" s="292"/>
      <c r="Q71" s="284"/>
      <c r="R71" s="284"/>
      <c r="S71" s="31" t="s">
        <v>109</v>
      </c>
      <c r="T71" s="80" t="s">
        <v>110</v>
      </c>
      <c r="U71" s="292"/>
      <c r="V71" s="3"/>
      <c r="W71" s="3"/>
      <c r="X71" s="3"/>
      <c r="Y71" s="3"/>
      <c r="Z71" s="3"/>
      <c r="AA71" s="3"/>
      <c r="AB71" s="3"/>
      <c r="AC71" s="3"/>
      <c r="AD71" s="3"/>
      <c r="AE71" s="3"/>
      <c r="AF71" s="3"/>
      <c r="AG71" s="3"/>
      <c r="AH71" s="3"/>
      <c r="AI71" s="3"/>
    </row>
    <row r="72" spans="1:35" ht="17.25" customHeight="1" x14ac:dyDescent="0.25">
      <c r="A72" s="292"/>
      <c r="B72" s="626" t="s">
        <v>664</v>
      </c>
      <c r="C72" s="666"/>
      <c r="D72" s="666"/>
      <c r="E72" s="292"/>
      <c r="F72" s="622" t="s">
        <v>166</v>
      </c>
      <c r="G72" s="623"/>
      <c r="H72" s="18">
        <v>-1.25</v>
      </c>
      <c r="I72" s="18">
        <v>-1.25</v>
      </c>
      <c r="J72" s="18">
        <v>-1.25</v>
      </c>
      <c r="K72" s="18">
        <v>-1.25</v>
      </c>
      <c r="L72" s="18">
        <v>-1.25</v>
      </c>
      <c r="M72" s="18">
        <v>-1.25</v>
      </c>
      <c r="N72" s="18">
        <v>-1.5</v>
      </c>
      <c r="O72" s="19">
        <v>-2</v>
      </c>
      <c r="P72" s="292"/>
      <c r="Q72" s="284"/>
      <c r="R72" s="284"/>
      <c r="S72" s="31" t="s">
        <v>113</v>
      </c>
      <c r="T72" s="80" t="s">
        <v>114</v>
      </c>
      <c r="U72" s="292"/>
      <c r="V72" s="3"/>
      <c r="W72" s="3"/>
      <c r="X72" s="3"/>
      <c r="Y72" s="3"/>
      <c r="Z72" s="3"/>
      <c r="AA72" s="3"/>
      <c r="AB72" s="3"/>
      <c r="AC72" s="3"/>
      <c r="AD72" s="3"/>
      <c r="AE72" s="3"/>
      <c r="AF72" s="3"/>
      <c r="AG72" s="3"/>
      <c r="AH72" s="3"/>
      <c r="AI72" s="3"/>
    </row>
    <row r="73" spans="1:35" x14ac:dyDescent="0.25">
      <c r="A73" s="292"/>
      <c r="B73" s="666"/>
      <c r="C73" s="666"/>
      <c r="D73" s="666"/>
      <c r="E73" s="292"/>
      <c r="F73" s="622" t="s">
        <v>168</v>
      </c>
      <c r="G73" s="623"/>
      <c r="H73" s="18">
        <v>-1.75</v>
      </c>
      <c r="I73" s="18">
        <v>-1.75</v>
      </c>
      <c r="J73" s="18">
        <v>-1.75</v>
      </c>
      <c r="K73" s="18">
        <v>-1.75</v>
      </c>
      <c r="L73" s="18">
        <v>-1.75</v>
      </c>
      <c r="M73" s="18">
        <v>-2</v>
      </c>
      <c r="N73" s="18">
        <v>-2</v>
      </c>
      <c r="O73" s="19" t="e">
        <v>#N/A</v>
      </c>
      <c r="P73" s="292"/>
      <c r="Q73" s="284"/>
      <c r="R73" s="284"/>
      <c r="S73" s="31" t="s">
        <v>118</v>
      </c>
      <c r="T73" s="80" t="s">
        <v>119</v>
      </c>
      <c r="U73" s="292"/>
      <c r="V73" s="3"/>
      <c r="W73" s="3"/>
      <c r="X73" s="3"/>
      <c r="Y73" s="3"/>
      <c r="Z73" s="3"/>
      <c r="AA73" s="3"/>
      <c r="AB73" s="3"/>
      <c r="AC73" s="3"/>
      <c r="AD73" s="3"/>
      <c r="AE73" s="3"/>
      <c r="AF73" s="3"/>
      <c r="AG73" s="3"/>
      <c r="AH73" s="3"/>
      <c r="AI73" s="3"/>
    </row>
    <row r="74" spans="1:35" x14ac:dyDescent="0.25">
      <c r="A74" s="292"/>
      <c r="B74" s="666"/>
      <c r="C74" s="666"/>
      <c r="D74" s="666"/>
      <c r="E74" s="292"/>
      <c r="F74" s="622" t="s">
        <v>169</v>
      </c>
      <c r="G74" s="623"/>
      <c r="H74" s="18">
        <v>-1.75</v>
      </c>
      <c r="I74" s="18">
        <v>-1.75</v>
      </c>
      <c r="J74" s="18">
        <v>-1.75</v>
      </c>
      <c r="K74" s="18">
        <v>-1.75</v>
      </c>
      <c r="L74" s="18">
        <v>-1.75</v>
      </c>
      <c r="M74" s="18">
        <v>-2</v>
      </c>
      <c r="N74" s="18">
        <v>-2</v>
      </c>
      <c r="O74" s="19" t="e">
        <v>#N/A</v>
      </c>
      <c r="P74" s="292"/>
      <c r="Q74" s="284"/>
      <c r="R74" s="284"/>
      <c r="S74" s="31" t="s">
        <v>123</v>
      </c>
      <c r="T74" s="81" t="s">
        <v>124</v>
      </c>
      <c r="U74" s="292"/>
      <c r="V74" s="3"/>
      <c r="W74" s="3"/>
      <c r="X74" s="3"/>
      <c r="Y74" s="3"/>
      <c r="Z74" s="3"/>
      <c r="AA74" s="3"/>
      <c r="AB74" s="3"/>
      <c r="AC74" s="3"/>
      <c r="AD74" s="3"/>
      <c r="AE74" s="3"/>
      <c r="AF74" s="3"/>
      <c r="AG74" s="3"/>
      <c r="AH74" s="3"/>
      <c r="AI74" s="3"/>
    </row>
    <row r="75" spans="1:35" x14ac:dyDescent="0.25">
      <c r="A75" s="292"/>
      <c r="B75" s="666"/>
      <c r="C75" s="666"/>
      <c r="D75" s="666"/>
      <c r="E75" s="292"/>
      <c r="F75" s="622" t="s">
        <v>170</v>
      </c>
      <c r="G75" s="623"/>
      <c r="H75" s="18">
        <v>0</v>
      </c>
      <c r="I75" s="18">
        <v>0</v>
      </c>
      <c r="J75" s="18">
        <v>0</v>
      </c>
      <c r="K75" s="18">
        <v>0</v>
      </c>
      <c r="L75" s="18">
        <v>0</v>
      </c>
      <c r="M75" s="18">
        <v>0</v>
      </c>
      <c r="N75" s="18">
        <v>0</v>
      </c>
      <c r="O75" s="19">
        <v>0</v>
      </c>
      <c r="P75" s="292"/>
      <c r="Q75" s="284"/>
      <c r="R75" s="284"/>
      <c r="S75" s="31" t="s">
        <v>127</v>
      </c>
      <c r="T75" s="81" t="s">
        <v>128</v>
      </c>
      <c r="U75" s="292"/>
      <c r="W75" s="3"/>
      <c r="X75" s="3"/>
      <c r="Y75" s="3"/>
      <c r="Z75" s="3"/>
      <c r="AA75" s="3"/>
      <c r="AB75" s="3"/>
      <c r="AC75" s="3"/>
      <c r="AD75" s="3"/>
      <c r="AE75" s="3"/>
      <c r="AF75" s="3"/>
      <c r="AG75" s="3"/>
      <c r="AH75" s="3"/>
      <c r="AI75" s="3"/>
    </row>
    <row r="76" spans="1:35" x14ac:dyDescent="0.25">
      <c r="A76" s="292"/>
      <c r="B76" s="955"/>
      <c r="C76" s="955"/>
      <c r="D76" s="955"/>
      <c r="E76" s="292"/>
      <c r="F76" s="908" t="s">
        <v>36</v>
      </c>
      <c r="G76" s="909"/>
      <c r="H76" s="909"/>
      <c r="I76" s="909"/>
      <c r="J76" s="909"/>
      <c r="K76" s="909"/>
      <c r="L76" s="909"/>
      <c r="M76" s="909"/>
      <c r="N76" s="909"/>
      <c r="O76" s="910"/>
      <c r="P76" s="292"/>
      <c r="Q76" s="284"/>
      <c r="R76" s="284"/>
      <c r="S76" s="31" t="s">
        <v>119</v>
      </c>
      <c r="T76" s="82">
        <v>4</v>
      </c>
      <c r="U76" s="292"/>
      <c r="W76" s="3"/>
      <c r="X76" s="3"/>
      <c r="Y76" s="3"/>
      <c r="Z76" s="3"/>
      <c r="AA76" s="3"/>
      <c r="AB76" s="3"/>
      <c r="AC76" s="3"/>
      <c r="AD76" s="3"/>
      <c r="AE76" s="3"/>
      <c r="AF76" s="3"/>
      <c r="AG76" s="3"/>
      <c r="AH76" s="3"/>
      <c r="AI76" s="3"/>
    </row>
    <row r="77" spans="1:35" ht="15.75" thickBot="1" x14ac:dyDescent="0.3">
      <c r="A77" s="292"/>
      <c r="B77" s="284"/>
      <c r="C77" s="284"/>
      <c r="D77" s="284"/>
      <c r="E77" s="292"/>
      <c r="F77" s="622" t="s">
        <v>171</v>
      </c>
      <c r="G77" s="623"/>
      <c r="H77" s="18">
        <v>-2</v>
      </c>
      <c r="I77" s="18">
        <v>-2</v>
      </c>
      <c r="J77" s="18">
        <v>-2</v>
      </c>
      <c r="K77" s="18">
        <v>-2</v>
      </c>
      <c r="L77" s="18">
        <v>-2</v>
      </c>
      <c r="M77" s="18">
        <v>-2</v>
      </c>
      <c r="N77" s="18">
        <v>-2</v>
      </c>
      <c r="O77" s="19">
        <v>-2</v>
      </c>
      <c r="P77" s="292"/>
      <c r="Q77" s="284"/>
      <c r="R77" s="284"/>
      <c r="S77" s="337"/>
      <c r="T77" s="336"/>
      <c r="U77" s="292"/>
      <c r="W77" s="3"/>
      <c r="X77" s="3"/>
      <c r="Y77" s="3"/>
      <c r="Z77" s="3"/>
      <c r="AA77" s="3"/>
      <c r="AB77" s="3"/>
      <c r="AC77" s="3"/>
      <c r="AD77" s="3"/>
      <c r="AE77" s="3"/>
      <c r="AF77" s="3"/>
      <c r="AG77" s="3"/>
      <c r="AH77" s="3"/>
      <c r="AI77" s="3"/>
    </row>
    <row r="78" spans="1:35" x14ac:dyDescent="0.25">
      <c r="A78" s="292"/>
      <c r="B78" s="284"/>
      <c r="C78" s="284"/>
      <c r="D78" s="284"/>
      <c r="E78" s="292"/>
      <c r="F78" s="622" t="s">
        <v>172</v>
      </c>
      <c r="G78" s="623"/>
      <c r="H78" s="18">
        <v>-1</v>
      </c>
      <c r="I78" s="18">
        <v>-1</v>
      </c>
      <c r="J78" s="18">
        <v>-1</v>
      </c>
      <c r="K78" s="18">
        <v>-1.25</v>
      </c>
      <c r="L78" s="18">
        <v>-1.25</v>
      </c>
      <c r="M78" s="18">
        <v>-1.25</v>
      </c>
      <c r="N78" s="18">
        <v>-1.25</v>
      </c>
      <c r="O78" s="19">
        <v>-1.25</v>
      </c>
      <c r="P78" s="292"/>
      <c r="Q78" s="920" t="s">
        <v>765</v>
      </c>
      <c r="R78" s="921"/>
      <c r="S78" s="921"/>
      <c r="T78" s="922"/>
      <c r="U78" s="292"/>
      <c r="W78" s="3"/>
      <c r="X78" s="3"/>
      <c r="Y78" s="3"/>
      <c r="Z78" s="3"/>
      <c r="AA78" s="3"/>
      <c r="AB78" s="3"/>
      <c r="AC78" s="3"/>
      <c r="AD78" s="3"/>
      <c r="AE78" s="3"/>
      <c r="AF78" s="3"/>
      <c r="AG78" s="3"/>
      <c r="AH78" s="3"/>
      <c r="AI78" s="3"/>
    </row>
    <row r="79" spans="1:35" x14ac:dyDescent="0.25">
      <c r="A79" s="292"/>
      <c r="B79" s="284"/>
      <c r="C79" s="284"/>
      <c r="D79" s="284"/>
      <c r="E79" s="292"/>
      <c r="F79" s="622" t="s">
        <v>173</v>
      </c>
      <c r="G79" s="623"/>
      <c r="H79" s="18">
        <v>-0.25</v>
      </c>
      <c r="I79" s="18">
        <v>-0.25</v>
      </c>
      <c r="J79" s="18">
        <v>-0.25</v>
      </c>
      <c r="K79" s="18">
        <v>-0.25</v>
      </c>
      <c r="L79" s="18">
        <v>-0.25</v>
      </c>
      <c r="M79" s="18">
        <v>-0.5</v>
      </c>
      <c r="N79" s="18">
        <v>-0.5</v>
      </c>
      <c r="O79" s="19">
        <v>-0.5</v>
      </c>
      <c r="P79" s="292"/>
      <c r="Q79" s="630" t="str">
        <f>'Feed(DSCR)'!$U$161</f>
        <v>Tier 1 States</v>
      </c>
      <c r="R79" s="629" t="str">
        <f>'Feed(DSCR)'!$V$161</f>
        <v>AZ, CA, CO, CT, GA, HI, MA, MD, NJ, NV, OR, SC, UT, VA, WA</v>
      </c>
      <c r="S79" s="629"/>
      <c r="T79" s="627">
        <f>'Feed(DSCR)'!$W$161</f>
        <v>0</v>
      </c>
      <c r="U79" s="292"/>
      <c r="W79" s="3"/>
      <c r="X79" s="3"/>
      <c r="Y79" s="3"/>
      <c r="Z79" s="3"/>
      <c r="AA79" s="3"/>
      <c r="AB79" s="3"/>
      <c r="AC79" s="3"/>
      <c r="AD79" s="3"/>
      <c r="AE79" s="3"/>
      <c r="AF79" s="3"/>
      <c r="AG79" s="3"/>
      <c r="AH79" s="3"/>
      <c r="AI79" s="3"/>
    </row>
    <row r="80" spans="1:35" ht="15.75" thickBot="1" x14ac:dyDescent="0.3">
      <c r="A80" s="292"/>
      <c r="B80" s="955"/>
      <c r="C80" s="955"/>
      <c r="D80" s="955"/>
      <c r="E80" s="292"/>
      <c r="F80" s="648" t="s">
        <v>174</v>
      </c>
      <c r="G80" s="649"/>
      <c r="H80" s="340">
        <v>0</v>
      </c>
      <c r="I80" s="340">
        <v>0</v>
      </c>
      <c r="J80" s="340">
        <v>0</v>
      </c>
      <c r="K80" s="340">
        <v>0</v>
      </c>
      <c r="L80" s="340">
        <v>0</v>
      </c>
      <c r="M80" s="340">
        <v>0</v>
      </c>
      <c r="N80" s="340">
        <v>0</v>
      </c>
      <c r="O80" s="341">
        <v>0</v>
      </c>
      <c r="P80" s="292"/>
      <c r="Q80" s="630"/>
      <c r="R80" s="629"/>
      <c r="S80" s="629"/>
      <c r="T80" s="627"/>
      <c r="U80" s="292"/>
    </row>
    <row r="81" spans="1:21" x14ac:dyDescent="0.25">
      <c r="A81" s="292"/>
      <c r="B81" s="410"/>
      <c r="C81" s="410"/>
      <c r="D81" s="411"/>
      <c r="E81" s="292"/>
      <c r="F81" s="405"/>
      <c r="G81" s="406"/>
      <c r="H81" s="406"/>
      <c r="I81" s="406"/>
      <c r="J81" s="406"/>
      <c r="K81" s="406"/>
      <c r="L81" s="406"/>
      <c r="M81" s="406"/>
      <c r="N81" s="406"/>
      <c r="O81" s="407"/>
      <c r="P81" s="292"/>
      <c r="Q81" s="630" t="str">
        <f>'Feed(DSCR)'!$U$162</f>
        <v>Tier 2 States</v>
      </c>
      <c r="R81" s="629" t="str">
        <f>'Feed(DSCR)'!$V$162</f>
        <v>DC, FL, ID, IL, IN, LA, MI, MN, MO, NC, OH, OK, PA, RI, TN, TX</v>
      </c>
      <c r="S81" s="629"/>
      <c r="T81" s="627">
        <f>'Feed(DSCR)'!$W$162</f>
        <v>0.15</v>
      </c>
      <c r="U81" s="292"/>
    </row>
    <row r="82" spans="1:21" ht="15" customHeight="1" x14ac:dyDescent="0.25">
      <c r="A82" s="292"/>
      <c r="B82" s="410"/>
      <c r="C82" s="410"/>
      <c r="D82" s="411"/>
      <c r="E82" s="292"/>
      <c r="F82" s="408"/>
      <c r="G82" s="401"/>
      <c r="H82" s="401"/>
      <c r="I82" s="401"/>
      <c r="J82" s="401"/>
      <c r="K82" s="401"/>
      <c r="L82" s="401"/>
      <c r="M82" s="401"/>
      <c r="N82" s="401"/>
      <c r="O82" s="409"/>
      <c r="P82" s="292"/>
      <c r="Q82" s="630"/>
      <c r="R82" s="629"/>
      <c r="S82" s="629"/>
      <c r="T82" s="627"/>
      <c r="U82" s="292"/>
    </row>
    <row r="83" spans="1:21" ht="15" customHeight="1" x14ac:dyDescent="0.25">
      <c r="A83" s="292"/>
      <c r="B83" s="410"/>
      <c r="C83" s="410"/>
      <c r="D83" s="411"/>
      <c r="E83" s="292"/>
      <c r="F83" s="408"/>
      <c r="G83" s="401"/>
      <c r="H83" s="401"/>
      <c r="I83" s="401"/>
      <c r="J83" s="401"/>
      <c r="K83" s="401"/>
      <c r="L83" s="401"/>
      <c r="M83" s="401"/>
      <c r="N83" s="401"/>
      <c r="O83" s="409"/>
      <c r="P83" s="292"/>
      <c r="Q83" s="630" t="str">
        <f>'Feed(DSCR)'!$U$163</f>
        <v>Tier 3 States</v>
      </c>
      <c r="R83" s="629" t="str">
        <f>'Feed(DSCR)'!$V$163</f>
        <v>AK, AL, AR, DE, IA, KS, KY, ME, MS, MT, ND, NE, NH, NM, SD, VT WI, WV, WY</v>
      </c>
      <c r="S83" s="629"/>
      <c r="T83" s="627">
        <f>'Feed(DSCR)'!$W$163</f>
        <v>0.25</v>
      </c>
      <c r="U83" s="292"/>
    </row>
    <row r="84" spans="1:21" ht="15" customHeight="1" thickBot="1" x14ac:dyDescent="0.3">
      <c r="A84" s="292"/>
      <c r="B84" s="410"/>
      <c r="C84" s="410"/>
      <c r="D84" s="411"/>
      <c r="E84" s="292"/>
      <c r="F84" s="408"/>
      <c r="G84" s="401"/>
      <c r="H84" s="401"/>
      <c r="I84" s="401"/>
      <c r="J84" s="401"/>
      <c r="K84" s="401"/>
      <c r="L84" s="401"/>
      <c r="M84" s="401"/>
      <c r="N84" s="401"/>
      <c r="O84" s="409"/>
      <c r="P84" s="292"/>
      <c r="Q84" s="637"/>
      <c r="R84" s="638"/>
      <c r="S84" s="638"/>
      <c r="T84" s="628"/>
      <c r="U84" s="292"/>
    </row>
    <row r="85" spans="1:21" ht="15" customHeight="1" x14ac:dyDescent="0.25">
      <c r="A85" s="292"/>
      <c r="B85" s="410"/>
      <c r="C85" s="410"/>
      <c r="D85" s="411"/>
      <c r="E85" s="292"/>
      <c r="F85" s="408"/>
      <c r="G85" s="401"/>
      <c r="H85" s="401"/>
      <c r="I85" s="401"/>
      <c r="J85" s="401"/>
      <c r="K85" s="401"/>
      <c r="L85" s="401"/>
      <c r="M85" s="401"/>
      <c r="N85" s="401"/>
      <c r="O85" s="409"/>
      <c r="P85" s="292"/>
      <c r="Q85" s="599"/>
      <c r="R85" s="401"/>
      <c r="S85" s="401"/>
      <c r="T85" s="401"/>
      <c r="U85" s="292"/>
    </row>
    <row r="86" spans="1:21" ht="15" customHeight="1" thickBot="1" x14ac:dyDescent="0.3">
      <c r="A86" s="292"/>
      <c r="B86" s="412"/>
      <c r="C86" s="413"/>
      <c r="D86" s="414"/>
      <c r="E86" s="292"/>
      <c r="F86" s="402"/>
      <c r="G86" s="403"/>
      <c r="H86" s="403"/>
      <c r="I86" s="403"/>
      <c r="J86" s="403"/>
      <c r="K86" s="403"/>
      <c r="L86" s="403"/>
      <c r="M86" s="403"/>
      <c r="N86" s="403"/>
      <c r="O86" s="404"/>
      <c r="P86" s="292"/>
      <c r="Q86" s="402"/>
      <c r="R86" s="403"/>
      <c r="S86" s="403"/>
      <c r="T86" s="404"/>
      <c r="U86" s="292"/>
    </row>
    <row r="87" spans="1:21" ht="15" customHeight="1" x14ac:dyDescent="0.25">
      <c r="B87" s="665"/>
      <c r="C87" s="665"/>
      <c r="D87" s="54"/>
      <c r="E87" s="54"/>
      <c r="F87" s="86"/>
      <c r="G87" s="86"/>
      <c r="H87" s="88"/>
      <c r="I87" s="88"/>
      <c r="J87" s="88"/>
      <c r="K87" s="88"/>
      <c r="L87" s="88"/>
      <c r="M87" s="88"/>
      <c r="N87" s="88"/>
      <c r="O87" s="88"/>
      <c r="Q87" s="3"/>
      <c r="R87" s="3"/>
    </row>
    <row r="88" spans="1:21" ht="15" customHeight="1" x14ac:dyDescent="0.25">
      <c r="B88" s="665"/>
      <c r="C88" s="665"/>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IsdjBQpJEVUmytYdMGD0CffdA05b9J36O7HKZLSxZb6mQEdlY831GeTEGMt4PpwOMzABF2mf/Ubajq6EFG4Oag==" saltValue="Luf661UFJhZ4DIfpPj5Osw==" spinCount="100000" sheet="1" objects="1" scenarios="1"/>
  <mergeCells count="157">
    <mergeCell ref="B6:D7"/>
    <mergeCell ref="F6:O7"/>
    <mergeCell ref="Q6:T7"/>
    <mergeCell ref="B9:D9"/>
    <mergeCell ref="F9:O9"/>
    <mergeCell ref="F10:G10"/>
    <mergeCell ref="Q10:R10"/>
    <mergeCell ref="L1:O1"/>
    <mergeCell ref="L2:O2"/>
    <mergeCell ref="L3:O3"/>
    <mergeCell ref="N4:O4"/>
    <mergeCell ref="L5:M5"/>
    <mergeCell ref="N5:O5"/>
    <mergeCell ref="B1:E1"/>
    <mergeCell ref="C2:E2"/>
    <mergeCell ref="C3:E3"/>
    <mergeCell ref="C4:E4"/>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53:T54"/>
    <mergeCell ref="Q50:T52"/>
    <mergeCell ref="S49:T49"/>
    <mergeCell ref="Q48:R48"/>
    <mergeCell ref="Q49:R49"/>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113" priority="32" operator="containsText" text="n/a">
      <formula>NOT(ISERROR(SEARCH("n/a",B51)))</formula>
    </cfRule>
  </conditionalFormatting>
  <conditionalFormatting sqref="B55 D55">
    <cfRule type="containsText" dxfId="112" priority="39" operator="containsText" text="n/a">
      <formula>NOT(ISERROR(SEARCH("n/a",B55)))</formula>
    </cfRule>
  </conditionalFormatting>
  <conditionalFormatting sqref="B58">
    <cfRule type="containsText" dxfId="111" priority="40" operator="containsText" text="n/a">
      <formula>NOT(ISERROR(SEARCH("n/a",B58)))</formula>
    </cfRule>
  </conditionalFormatting>
  <conditionalFormatting sqref="B69">
    <cfRule type="containsText" dxfId="110" priority="34" operator="containsText" text="n/a">
      <formula>NOT(ISERROR(SEARCH("n/a",B69)))</formula>
    </cfRule>
  </conditionalFormatting>
  <conditionalFormatting sqref="B71">
    <cfRule type="containsText" dxfId="109" priority="26" operator="containsText" text="n/a">
      <formula>NOT(ISERROR(SEARCH("n/a",B71)))</formula>
    </cfRule>
  </conditionalFormatting>
  <conditionalFormatting sqref="B53:D53">
    <cfRule type="containsText" dxfId="108" priority="29" operator="containsText" text="n/a">
      <formula>NOT(ISERROR(SEARCH("n/a",B53)))</formula>
    </cfRule>
  </conditionalFormatting>
  <conditionalFormatting sqref="B10:D10">
    <cfRule type="containsText" dxfId="107" priority="62" operator="containsText" text="n/a">
      <formula>NOT(ISERROR(SEARCH("n/a",B10)))</formula>
    </cfRule>
  </conditionalFormatting>
  <conditionalFormatting sqref="C14:C46">
    <cfRule type="containsErrors" dxfId="106" priority="58">
      <formula>ISERROR(C14)</formula>
    </cfRule>
  </conditionalFormatting>
  <conditionalFormatting sqref="C14:C46 C51:C52">
    <cfRule type="containsText" dxfId="105" priority="31" operator="containsText" text="n/a">
      <formula>NOT(ISERROR(SEARCH("n/a",C14)))</formula>
    </cfRule>
  </conditionalFormatting>
  <conditionalFormatting sqref="D21:D46">
    <cfRule type="containsErrors" dxfId="104" priority="57">
      <formula>ISERROR(D21)</formula>
    </cfRule>
  </conditionalFormatting>
  <conditionalFormatting sqref="D21:D46 D51:D52">
    <cfRule type="containsText" dxfId="103" priority="30" operator="containsText" text="n/a">
      <formula>NOT(ISERROR(SEARCH("n/a",D21)))</formula>
    </cfRule>
  </conditionalFormatting>
  <conditionalFormatting sqref="F10">
    <cfRule type="containsText" dxfId="102" priority="63" operator="containsText" text="n/a">
      <formula>NOT(ISERROR(SEARCH("n/a",F10)))</formula>
    </cfRule>
  </conditionalFormatting>
  <conditionalFormatting sqref="F20:F22">
    <cfRule type="containsText" dxfId="101" priority="42" operator="containsText" text="n/a">
      <formula>NOT(ISERROR(SEARCH("n/a",F20)))</formula>
    </cfRule>
  </conditionalFormatting>
  <conditionalFormatting sqref="F29">
    <cfRule type="containsText" dxfId="100" priority="27" operator="containsText" text="n/a">
      <formula>NOT(ISERROR(SEARCH("n/a",F29)))</formula>
    </cfRule>
  </conditionalFormatting>
  <conditionalFormatting sqref="F35">
    <cfRule type="containsText" dxfId="99" priority="50" operator="containsText" text="n/a">
      <formula>NOT(ISERROR(SEARCH("n/a",F35)))</formula>
    </cfRule>
  </conditionalFormatting>
  <conditionalFormatting sqref="F45">
    <cfRule type="containsText" dxfId="98" priority="49" operator="containsText" text="n/a">
      <formula>NOT(ISERROR(SEARCH("n/a",F45)))</formula>
    </cfRule>
  </conditionalFormatting>
  <conditionalFormatting sqref="F50">
    <cfRule type="containsText" dxfId="97" priority="48" operator="containsText" text="n/a">
      <formula>NOT(ISERROR(SEARCH("n/a",F50)))</formula>
    </cfRule>
  </conditionalFormatting>
  <conditionalFormatting sqref="F63">
    <cfRule type="containsText" dxfId="96" priority="47" operator="containsText" text="n/a">
      <formula>NOT(ISERROR(SEARCH("n/a",F63)))</formula>
    </cfRule>
  </conditionalFormatting>
  <conditionalFormatting sqref="F70">
    <cfRule type="containsText" dxfId="95" priority="46" operator="containsText" text="n/a">
      <formula>NOT(ISERROR(SEARCH("n/a",F70)))</formula>
    </cfRule>
  </conditionalFormatting>
  <conditionalFormatting sqref="F76">
    <cfRule type="containsText" dxfId="94" priority="45" operator="containsText" text="n/a">
      <formula>NOT(ISERROR(SEARCH("n/a",F76)))</formula>
    </cfRule>
  </conditionalFormatting>
  <conditionalFormatting sqref="H10:O10">
    <cfRule type="containsText" dxfId="93" priority="61" operator="containsText" text="n/a">
      <formula>NOT(ISERROR(SEARCH("n/a",H10)))</formula>
    </cfRule>
  </conditionalFormatting>
  <conditionalFormatting sqref="H20:O20">
    <cfRule type="containsText" dxfId="92" priority="43" operator="containsText" text="n/a">
      <formula>NOT(ISERROR(SEARCH("n/a",H20)))</formula>
    </cfRule>
  </conditionalFormatting>
  <conditionalFormatting sqref="N11:N16 M11:M18 H11:L19">
    <cfRule type="containsText" dxfId="91" priority="65" operator="containsText" text="n/a">
      <formula>NOT(ISERROR(SEARCH("n/a",H11)))</formula>
    </cfRule>
    <cfRule type="containsErrors" dxfId="90" priority="70">
      <formula>ISERROR(H11)</formula>
    </cfRule>
  </conditionalFormatting>
  <conditionalFormatting sqref="O11:O14">
    <cfRule type="containsText" dxfId="89" priority="59" operator="containsText" text="n/a">
      <formula>NOT(ISERROR(SEARCH("n/a",O11)))</formula>
    </cfRule>
    <cfRule type="containsErrors" dxfId="88" priority="60">
      <formula>ISERROR(O11)</formula>
    </cfRule>
  </conditionalFormatting>
  <conditionalFormatting sqref="Q36:Q39">
    <cfRule type="containsText" dxfId="87" priority="51" operator="containsText" text="Rate">
      <formula>NOT(ISERROR(SEARCH("Rate",Q36)))</formula>
    </cfRule>
    <cfRule type="expression" dxfId="86" priority="52">
      <formula>Output_NetPrice_JM &lt; 99</formula>
    </cfRule>
    <cfRule type="expression" dxfId="85" priority="53">
      <formula>Output_NetPrice_ExpNR &lt; 99</formula>
    </cfRule>
  </conditionalFormatting>
  <conditionalFormatting sqref="Q55">
    <cfRule type="containsText" dxfId="84" priority="44" operator="containsText" text="n/a">
      <formula>NOT(ISERROR(SEARCH("n/a",Q55)))</formula>
    </cfRule>
  </conditionalFormatting>
  <conditionalFormatting sqref="Q68">
    <cfRule type="containsText" dxfId="83" priority="36" operator="containsText" text="n/a">
      <formula>NOT(ISERROR(SEARCH("n/a",Q68)))</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9" width="17.7109375" style="1" customWidth="1"/>
    <col min="10" max="10" width="18.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25" t="s">
        <v>0</v>
      </c>
      <c r="K1" s="2"/>
      <c r="L1" s="659"/>
      <c r="M1" s="659"/>
      <c r="N1" s="2"/>
      <c r="O1" s="2"/>
      <c r="P1" s="3"/>
    </row>
    <row r="2" spans="1:24" ht="17.45" customHeight="1" x14ac:dyDescent="0.25">
      <c r="A2"/>
      <c r="B2"/>
      <c r="C2"/>
      <c r="D2"/>
      <c r="E2"/>
      <c r="G2" s="4"/>
      <c r="H2" s="4"/>
      <c r="I2" s="4"/>
      <c r="J2" s="526" t="s">
        <v>1</v>
      </c>
      <c r="K2" s="4"/>
      <c r="L2" s="661"/>
      <c r="M2" s="661"/>
      <c r="N2" s="2"/>
      <c r="O2" s="2"/>
      <c r="P2" s="3"/>
    </row>
    <row r="3" spans="1:24" ht="17.45" customHeight="1" x14ac:dyDescent="0.25">
      <c r="A3"/>
      <c r="B3"/>
      <c r="C3"/>
      <c r="D3"/>
      <c r="E3"/>
      <c r="G3" s="4"/>
      <c r="H3" s="4"/>
      <c r="I3" s="4"/>
      <c r="J3" s="526" t="s">
        <v>2</v>
      </c>
      <c r="K3" s="4"/>
      <c r="L3" s="661"/>
      <c r="M3" s="661"/>
      <c r="N3" s="4"/>
      <c r="O3" s="4"/>
    </row>
    <row r="4" spans="1:24" ht="17.45" customHeight="1" x14ac:dyDescent="0.25">
      <c r="A4"/>
      <c r="B4"/>
      <c r="C4"/>
      <c r="D4"/>
      <c r="E4"/>
      <c r="F4" s="50"/>
      <c r="G4" s="7"/>
      <c r="H4" s="7"/>
      <c r="I4" s="7"/>
      <c r="K4" s="8"/>
      <c r="L4" s="4"/>
      <c r="M4" s="4"/>
      <c r="N4" s="4"/>
      <c r="O4" s="4"/>
    </row>
    <row r="5" spans="1:24" ht="17.45" customHeight="1" thickBot="1" x14ac:dyDescent="0.3">
      <c r="B5" s="493">
        <f ca="1">TODAY()</f>
        <v>46310</v>
      </c>
      <c r="C5" s="489"/>
      <c r="G5" s="9"/>
      <c r="H5" s="63"/>
      <c r="I5" s="528" t="s">
        <v>3</v>
      </c>
      <c r="J5" s="63">
        <v>46301</v>
      </c>
      <c r="K5" s="8"/>
      <c r="M5" s="474"/>
      <c r="N5" s="3"/>
      <c r="O5" s="3"/>
    </row>
    <row r="6" spans="1:24" ht="17.45" customHeight="1" x14ac:dyDescent="0.25">
      <c r="A6" s="292"/>
      <c r="B6" s="967" t="s">
        <v>4</v>
      </c>
      <c r="C6" s="794"/>
      <c r="D6" s="292"/>
      <c r="E6" s="967" t="s">
        <v>833</v>
      </c>
      <c r="F6" s="797"/>
      <c r="G6" s="797"/>
      <c r="H6" s="797"/>
      <c r="I6" s="797"/>
      <c r="J6" s="794"/>
      <c r="K6" s="292"/>
      <c r="L6" s="292"/>
      <c r="M6" s="967" t="s">
        <v>832</v>
      </c>
      <c r="N6" s="797"/>
      <c r="O6" s="797"/>
      <c r="P6" s="794"/>
      <c r="Q6" s="292"/>
    </row>
    <row r="7" spans="1:24" ht="17.45" customHeight="1" thickBot="1" x14ac:dyDescent="0.3">
      <c r="A7" s="292"/>
      <c r="B7" s="795"/>
      <c r="C7" s="796"/>
      <c r="D7" s="292"/>
      <c r="E7" s="795"/>
      <c r="F7" s="798"/>
      <c r="G7" s="798"/>
      <c r="H7" s="798"/>
      <c r="I7" s="798"/>
      <c r="J7" s="796"/>
      <c r="K7" s="292"/>
      <c r="L7" s="292"/>
      <c r="M7" s="795"/>
      <c r="N7" s="798"/>
      <c r="O7" s="798"/>
      <c r="P7" s="796"/>
      <c r="Q7" s="292"/>
    </row>
    <row r="8" spans="1:24" ht="15.75" customHeight="1" x14ac:dyDescent="0.25">
      <c r="A8" s="292"/>
      <c r="B8" s="327"/>
      <c r="C8" s="327"/>
      <c r="D8" s="292"/>
      <c r="E8" s="327"/>
      <c r="F8" s="327"/>
      <c r="G8" s="327"/>
      <c r="H8" s="327"/>
      <c r="I8" s="327"/>
      <c r="J8" s="327"/>
      <c r="K8" s="292"/>
      <c r="L8" s="292"/>
      <c r="M8" s="327"/>
      <c r="N8" s="327"/>
      <c r="O8" s="327"/>
      <c r="P8" s="327"/>
      <c r="Q8" s="292"/>
    </row>
    <row r="9" spans="1:24" ht="16.5" thickBot="1" x14ac:dyDescent="0.3">
      <c r="A9" s="292"/>
      <c r="B9" s="1002" t="s">
        <v>6</v>
      </c>
      <c r="C9" s="799"/>
      <c r="D9" s="292"/>
      <c r="E9" s="1002" t="s">
        <v>7</v>
      </c>
      <c r="F9" s="800"/>
      <c r="G9" s="800"/>
      <c r="H9" s="800"/>
      <c r="I9" s="800"/>
      <c r="J9" s="799"/>
      <c r="K9" s="292"/>
      <c r="L9" s="292"/>
      <c r="M9" s="499"/>
      <c r="N9" s="500"/>
      <c r="O9" s="612" t="s">
        <v>8</v>
      </c>
      <c r="P9" s="501"/>
      <c r="Q9" s="292"/>
    </row>
    <row r="10" spans="1:24" ht="15.75" customHeight="1" x14ac:dyDescent="0.25">
      <c r="A10" s="292"/>
      <c r="B10" s="502" t="s">
        <v>9</v>
      </c>
      <c r="C10" s="502" t="s">
        <v>209</v>
      </c>
      <c r="D10" s="292"/>
      <c r="E10" s="926" t="s">
        <v>11</v>
      </c>
      <c r="F10" s="927"/>
      <c r="G10" s="502" t="s">
        <v>12</v>
      </c>
      <c r="H10" s="502" t="s">
        <v>13</v>
      </c>
      <c r="I10" s="502" t="s">
        <v>14</v>
      </c>
      <c r="J10" s="502" t="s">
        <v>15</v>
      </c>
      <c r="K10" s="292"/>
      <c r="L10" s="292"/>
      <c r="M10" s="1003" t="s">
        <v>21</v>
      </c>
      <c r="N10" s="1004"/>
      <c r="O10" s="13">
        <v>0</v>
      </c>
      <c r="P10" s="503"/>
      <c r="Q10" s="292"/>
    </row>
    <row r="11" spans="1:24" ht="14.25" customHeight="1" x14ac:dyDescent="0.25">
      <c r="A11" s="292"/>
      <c r="B11" s="504">
        <v>8.5</v>
      </c>
      <c r="C11" s="492">
        <v>97.5</v>
      </c>
      <c r="D11" s="292"/>
      <c r="E11" s="1005" t="s">
        <v>834</v>
      </c>
      <c r="F11" s="1006">
        <v>0</v>
      </c>
      <c r="G11" s="14">
        <v>1</v>
      </c>
      <c r="H11" s="14">
        <v>0.75</v>
      </c>
      <c r="I11" s="14">
        <v>0.5</v>
      </c>
      <c r="J11" s="15">
        <v>0.25</v>
      </c>
      <c r="K11" s="292"/>
      <c r="L11" s="292"/>
      <c r="M11" s="998" t="s">
        <v>23</v>
      </c>
      <c r="N11" s="999"/>
      <c r="O11" s="16" t="s">
        <v>31</v>
      </c>
      <c r="P11" s="503"/>
      <c r="Q11" s="292"/>
      <c r="R11" s="17"/>
      <c r="S11" s="17"/>
      <c r="T11" s="17"/>
      <c r="U11" s="17"/>
      <c r="V11" s="17"/>
      <c r="W11" s="17"/>
      <c r="X11" s="17"/>
    </row>
    <row r="12" spans="1:24" x14ac:dyDescent="0.25">
      <c r="A12" s="292"/>
      <c r="B12" s="504">
        <v>8.625</v>
      </c>
      <c r="C12" s="492">
        <v>97.875</v>
      </c>
      <c r="D12" s="292"/>
      <c r="E12" s="1000" t="s">
        <v>42</v>
      </c>
      <c r="F12" s="1001">
        <v>0</v>
      </c>
      <c r="G12" s="18">
        <v>0.75</v>
      </c>
      <c r="H12" s="18">
        <v>0.5</v>
      </c>
      <c r="I12" s="14">
        <v>0.25</v>
      </c>
      <c r="J12" s="19">
        <v>0</v>
      </c>
      <c r="K12" s="292"/>
      <c r="L12" s="292"/>
      <c r="M12" s="998" t="s">
        <v>25</v>
      </c>
      <c r="N12" s="999"/>
      <c r="O12" s="16" t="s">
        <v>31</v>
      </c>
      <c r="P12" s="503" t="b">
        <f>IF(ISNUMBER(MATCH($O$11,'Feed(CoreFlex)'!$B$3:$B$11,0)),INDEX($G$11:$J$16,MATCH($O$12,$E$11:$E$16,0),MATCH($O$11,$G$10:$J$10,0)))</f>
        <v>0</v>
      </c>
      <c r="Q12" s="292"/>
      <c r="R12" s="17"/>
      <c r="S12" s="17"/>
      <c r="T12" s="17"/>
      <c r="U12" s="17"/>
      <c r="V12" s="17"/>
      <c r="W12" s="17"/>
      <c r="X12" s="17"/>
    </row>
    <row r="13" spans="1:24" ht="15.75" customHeight="1" x14ac:dyDescent="0.25">
      <c r="A13" s="292"/>
      <c r="B13" s="504">
        <v>8.75</v>
      </c>
      <c r="C13" s="492">
        <v>98.25</v>
      </c>
      <c r="D13" s="292"/>
      <c r="E13" s="1000" t="s">
        <v>44</v>
      </c>
      <c r="F13" s="1001">
        <v>0</v>
      </c>
      <c r="G13" s="18">
        <v>0.5</v>
      </c>
      <c r="H13" s="18">
        <v>0.25</v>
      </c>
      <c r="I13" s="14">
        <v>0</v>
      </c>
      <c r="J13" s="19">
        <v>-0.25</v>
      </c>
      <c r="K13" s="292"/>
      <c r="L13" s="292"/>
      <c r="M13" s="998" t="s">
        <v>27</v>
      </c>
      <c r="N13" s="999"/>
      <c r="O13" s="16"/>
      <c r="P13" s="503">
        <v>0</v>
      </c>
      <c r="Q13" s="292"/>
      <c r="R13" s="17"/>
      <c r="S13" s="17"/>
      <c r="T13" s="17"/>
      <c r="U13" s="17"/>
      <c r="V13" s="17"/>
      <c r="W13" s="17"/>
      <c r="X13" s="17"/>
    </row>
    <row r="14" spans="1:24" ht="15.75" customHeight="1" x14ac:dyDescent="0.25">
      <c r="A14" s="292"/>
      <c r="B14" s="504">
        <v>8.875</v>
      </c>
      <c r="C14" s="492">
        <v>98.625</v>
      </c>
      <c r="D14" s="292"/>
      <c r="E14" s="1000" t="s">
        <v>835</v>
      </c>
      <c r="F14" s="1001">
        <v>0</v>
      </c>
      <c r="G14" s="18">
        <v>0</v>
      </c>
      <c r="H14" s="18">
        <v>-0.25</v>
      </c>
      <c r="I14" s="14">
        <v>-0.5</v>
      </c>
      <c r="J14" s="19">
        <v>-1</v>
      </c>
      <c r="K14" s="292"/>
      <c r="L14" s="292"/>
      <c r="M14" s="998" t="s">
        <v>30</v>
      </c>
      <c r="N14" s="999"/>
      <c r="O14" s="16" t="s">
        <v>31</v>
      </c>
      <c r="P14" s="505">
        <f>IF(OR(O14="",O10=""),"",IF(O14="&lt; 6 Months",NA(),0))</f>
        <v>0</v>
      </c>
      <c r="Q14" s="292"/>
      <c r="R14" s="17"/>
      <c r="S14" s="17"/>
      <c r="T14" s="17"/>
      <c r="U14" s="17"/>
      <c r="V14" s="17"/>
      <c r="W14" s="17"/>
      <c r="X14" s="17"/>
    </row>
    <row r="15" spans="1:24" x14ac:dyDescent="0.25">
      <c r="A15" s="292"/>
      <c r="B15" s="504">
        <v>9</v>
      </c>
      <c r="C15" s="492">
        <v>99</v>
      </c>
      <c r="D15" s="292"/>
      <c r="E15" s="1000" t="s">
        <v>836</v>
      </c>
      <c r="F15" s="1001">
        <v>0</v>
      </c>
      <c r="G15" s="18">
        <v>-0.25</v>
      </c>
      <c r="H15" s="18">
        <v>-0.375</v>
      </c>
      <c r="I15" s="14">
        <v>-0.75</v>
      </c>
      <c r="J15" s="19">
        <v>-1.25</v>
      </c>
      <c r="K15" s="292"/>
      <c r="L15" s="292"/>
      <c r="M15" s="998" t="s">
        <v>33</v>
      </c>
      <c r="N15" s="999"/>
      <c r="O15" s="16" t="s">
        <v>31</v>
      </c>
      <c r="P15" s="503" t="e">
        <f>IF(OR($O$11="", $O$15=""), "",INDEX($G$33:$J$34,MATCH($O$15,$E$33:$E$34,0),MATCH($O$11,$G$10:$J$10,0)))</f>
        <v>#N/A</v>
      </c>
      <c r="Q15" s="292"/>
      <c r="R15" s="17"/>
      <c r="S15" s="17"/>
      <c r="T15" s="17"/>
      <c r="U15" s="17"/>
      <c r="V15" s="17"/>
      <c r="W15" s="17"/>
      <c r="X15" s="17"/>
    </row>
    <row r="16" spans="1:24" ht="14.25" customHeight="1" x14ac:dyDescent="0.25">
      <c r="A16" s="292"/>
      <c r="B16" s="504">
        <v>9.125</v>
      </c>
      <c r="C16" s="492">
        <v>99.375</v>
      </c>
      <c r="D16" s="292"/>
      <c r="E16" s="1000" t="s">
        <v>837</v>
      </c>
      <c r="F16" s="1001">
        <v>0</v>
      </c>
      <c r="G16" s="18">
        <v>-0.5</v>
      </c>
      <c r="H16" s="18">
        <v>-0.625</v>
      </c>
      <c r="I16" s="14">
        <v>-1</v>
      </c>
      <c r="J16" s="19">
        <v>-1.5</v>
      </c>
      <c r="K16" s="292"/>
      <c r="L16" s="292"/>
      <c r="M16" s="998" t="s">
        <v>36</v>
      </c>
      <c r="N16" s="999"/>
      <c r="O16" s="16" t="s">
        <v>31</v>
      </c>
      <c r="P16" s="503" t="e">
        <f>IF(OR($O$11="", $O$16="", $O$16="NONE"),0,NA())</f>
        <v>#N/A</v>
      </c>
      <c r="Q16" s="292"/>
      <c r="R16" s="17"/>
      <c r="S16" s="17"/>
      <c r="T16" s="17"/>
      <c r="U16" s="17"/>
      <c r="V16" s="17"/>
      <c r="W16" s="17"/>
      <c r="X16" s="17"/>
    </row>
    <row r="17" spans="1:20" x14ac:dyDescent="0.25">
      <c r="A17" s="292"/>
      <c r="B17" s="504">
        <v>9.25</v>
      </c>
      <c r="C17" s="492">
        <v>99.75</v>
      </c>
      <c r="D17" s="292"/>
      <c r="E17" s="506"/>
      <c r="F17" s="502"/>
      <c r="G17" s="502"/>
      <c r="H17" s="502"/>
      <c r="I17" s="502"/>
      <c r="J17" s="507"/>
      <c r="K17" s="292"/>
      <c r="L17" s="292"/>
      <c r="M17" s="998" t="s">
        <v>39</v>
      </c>
      <c r="N17" s="999"/>
      <c r="O17" s="16" t="s">
        <v>209</v>
      </c>
      <c r="P17" s="503">
        <v>0</v>
      </c>
      <c r="Q17" s="292"/>
      <c r="R17" s="17"/>
      <c r="S17" s="17"/>
      <c r="T17" s="17"/>
    </row>
    <row r="18" spans="1:20" ht="16.5" thickBot="1" x14ac:dyDescent="0.3">
      <c r="A18" s="292"/>
      <c r="B18" s="504">
        <v>9.375</v>
      </c>
      <c r="C18" s="492">
        <v>100.125</v>
      </c>
      <c r="D18" s="292"/>
      <c r="E18" s="508"/>
      <c r="F18" s="509"/>
      <c r="G18" s="509"/>
      <c r="H18" s="509"/>
      <c r="I18" s="509"/>
      <c r="J18" s="510"/>
      <c r="K18" s="292"/>
      <c r="L18" s="292"/>
      <c r="M18" s="998" t="s">
        <v>41</v>
      </c>
      <c r="N18" s="999"/>
      <c r="O18" s="16" t="s">
        <v>210</v>
      </c>
      <c r="P18" s="503">
        <v>0</v>
      </c>
      <c r="Q18" s="292"/>
      <c r="R18" s="17"/>
      <c r="S18" s="17"/>
      <c r="T18" s="17"/>
    </row>
    <row r="19" spans="1:20" ht="15.75" customHeight="1" x14ac:dyDescent="0.25">
      <c r="A19" s="292"/>
      <c r="B19" s="504">
        <v>9.5</v>
      </c>
      <c r="C19" s="492">
        <v>100.5</v>
      </c>
      <c r="D19" s="292"/>
      <c r="E19" s="920" t="s">
        <v>47</v>
      </c>
      <c r="F19" s="793"/>
      <c r="G19" s="793"/>
      <c r="H19" s="793"/>
      <c r="I19" s="793"/>
      <c r="J19" s="976"/>
      <c r="K19" s="292"/>
      <c r="L19" s="292"/>
      <c r="M19" s="998" t="s">
        <v>592</v>
      </c>
      <c r="N19" s="999"/>
      <c r="O19" s="16" t="s">
        <v>31</v>
      </c>
      <c r="P19" s="503" t="e">
        <f>IF(OR($O$11="",$O$19=""),"",IF(O19="US Citizen",0,INDEX($G$36:$J$36,MATCH($O$19,E36,0),MATCH($O$11,$G$10:$J$10,0))))</f>
        <v>#N/A</v>
      </c>
      <c r="Q19" s="292"/>
      <c r="R19" s="17"/>
      <c r="S19" s="17"/>
      <c r="T19" s="17"/>
    </row>
    <row r="20" spans="1:20" ht="15.75" customHeight="1" x14ac:dyDescent="0.25">
      <c r="A20" s="292"/>
      <c r="B20" s="504">
        <v>9.625</v>
      </c>
      <c r="C20" s="492">
        <v>100.75</v>
      </c>
      <c r="D20" s="292"/>
      <c r="E20" s="620" t="s">
        <v>68</v>
      </c>
      <c r="F20" s="621">
        <v>0</v>
      </c>
      <c r="G20" s="21">
        <v>0</v>
      </c>
      <c r="H20" s="21">
        <v>0</v>
      </c>
      <c r="I20" s="21">
        <v>0</v>
      </c>
      <c r="J20" s="22">
        <v>0</v>
      </c>
      <c r="K20" s="292"/>
      <c r="L20" s="292"/>
      <c r="M20" s="998" t="s">
        <v>45</v>
      </c>
      <c r="N20" s="999"/>
      <c r="O20" s="16" t="s">
        <v>31</v>
      </c>
      <c r="P20" s="503" t="e">
        <f>IF(O20="DTI ≤40%",0,IF(OR($O$11="",$O$20=""),"",INDEX($G$37:$J$37,MATCH($O$20,E37,0),MATCH($O$11,$G$10:$J$10,0))))</f>
        <v>#N/A</v>
      </c>
      <c r="Q20" s="292"/>
      <c r="R20" s="17"/>
      <c r="S20" s="17"/>
      <c r="T20" s="17"/>
    </row>
    <row r="21" spans="1:20" ht="15.75" customHeight="1" x14ac:dyDescent="0.25">
      <c r="A21" s="292"/>
      <c r="B21" s="504">
        <v>9.75</v>
      </c>
      <c r="C21" s="492">
        <v>101</v>
      </c>
      <c r="D21" s="292"/>
      <c r="E21" s="620" t="s">
        <v>70</v>
      </c>
      <c r="F21" s="621">
        <v>0</v>
      </c>
      <c r="G21" s="21">
        <v>-0.25</v>
      </c>
      <c r="H21" s="21">
        <v>-0.25</v>
      </c>
      <c r="I21" s="21">
        <v>-0.25</v>
      </c>
      <c r="J21" s="22">
        <v>-0.25</v>
      </c>
      <c r="K21" s="292"/>
      <c r="L21" s="292"/>
      <c r="M21" s="998" t="s">
        <v>46</v>
      </c>
      <c r="N21" s="999"/>
      <c r="O21" s="16" t="s">
        <v>31</v>
      </c>
      <c r="P21" s="503" t="e">
        <f>IF(OR($O$11="", $O$21=""), "",INDEX($G$24:$J$28,MATCH($O$21,$E$24:$E$28,0),MATCH($O$11,$G$10:$J$10,0)))</f>
        <v>#N/A</v>
      </c>
      <c r="Q21" s="292"/>
      <c r="R21" s="17"/>
      <c r="T21" s="17"/>
    </row>
    <row r="22" spans="1:20" ht="15.75" thickBot="1" x14ac:dyDescent="0.3">
      <c r="A22" s="292"/>
      <c r="B22" s="504">
        <v>9.875</v>
      </c>
      <c r="C22" s="492">
        <v>101.25</v>
      </c>
      <c r="D22" s="292"/>
      <c r="E22" s="620" t="s">
        <v>72</v>
      </c>
      <c r="F22" s="621">
        <v>0</v>
      </c>
      <c r="G22" s="21">
        <v>-0.5</v>
      </c>
      <c r="H22" s="21">
        <v>-0.5</v>
      </c>
      <c r="I22" s="21">
        <v>-0.5</v>
      </c>
      <c r="J22" s="22" t="e">
        <v>#N/A</v>
      </c>
      <c r="K22" s="292"/>
      <c r="L22" s="292"/>
      <c r="M22" s="998" t="s">
        <v>47</v>
      </c>
      <c r="N22" s="999"/>
      <c r="O22" s="16" t="s">
        <v>31</v>
      </c>
      <c r="P22" s="503" t="e">
        <f>IF(OR($O$11="", $O$22=""), "",INDEX($G$20:$J$22,MATCH($O$22,$E$20:$E$22,0),MATCH($O$11,$G$10:$J$10,0)))</f>
        <v>#N/A</v>
      </c>
      <c r="Q22" s="292"/>
      <c r="T22" s="17"/>
    </row>
    <row r="23" spans="1:20" ht="15.75" customHeight="1" x14ac:dyDescent="0.25">
      <c r="A23" s="292"/>
      <c r="B23" s="504">
        <v>10</v>
      </c>
      <c r="C23" s="492">
        <v>101.5</v>
      </c>
      <c r="D23" s="292"/>
      <c r="E23" s="920" t="s">
        <v>78</v>
      </c>
      <c r="F23" s="793"/>
      <c r="G23" s="793"/>
      <c r="H23" s="793"/>
      <c r="I23" s="793"/>
      <c r="J23" s="976"/>
      <c r="K23" s="292"/>
      <c r="L23" s="292"/>
      <c r="M23" s="998" t="s">
        <v>49</v>
      </c>
      <c r="N23" s="999"/>
      <c r="O23" s="16" t="s">
        <v>213</v>
      </c>
      <c r="P23" s="503">
        <v>0</v>
      </c>
      <c r="Q23" s="292"/>
      <c r="S23" s="23"/>
      <c r="T23" s="17"/>
    </row>
    <row r="24" spans="1:20" ht="15.75" customHeight="1" x14ac:dyDescent="0.25">
      <c r="A24" s="292"/>
      <c r="B24" s="504">
        <v>10.125</v>
      </c>
      <c r="C24" s="492">
        <v>101.75</v>
      </c>
      <c r="D24" s="292"/>
      <c r="E24" s="620" t="s">
        <v>840</v>
      </c>
      <c r="F24" s="621">
        <v>0</v>
      </c>
      <c r="G24" s="21">
        <v>-0.25</v>
      </c>
      <c r="H24" s="21">
        <v>-0.25</v>
      </c>
      <c r="I24" s="21">
        <v>-0.25</v>
      </c>
      <c r="J24" s="22">
        <v>-0.25</v>
      </c>
      <c r="K24" s="292"/>
      <c r="L24" s="292"/>
      <c r="M24" s="998" t="s">
        <v>50</v>
      </c>
      <c r="N24" s="999"/>
      <c r="O24" s="16" t="s">
        <v>31</v>
      </c>
      <c r="P24" s="503" t="e">
        <f>IF(OR(O24="SFR",O24="PUD"),0,IF(OR($O$11="",$O$24=""),"",INDEX($G$30:$J$31,MATCH($O$24,$E$30:$E$31,0),MATCH($O$11,$G$10:$J$10,0))))</f>
        <v>#N/A</v>
      </c>
      <c r="Q24" s="292"/>
      <c r="S24" s="23"/>
      <c r="T24" s="17"/>
    </row>
    <row r="25" spans="1:20" ht="15.75" customHeight="1" x14ac:dyDescent="0.25">
      <c r="A25" s="292"/>
      <c r="B25" s="504">
        <v>10.25</v>
      </c>
      <c r="C25" s="492">
        <v>102</v>
      </c>
      <c r="D25" s="292"/>
      <c r="E25" s="620" t="s">
        <v>775</v>
      </c>
      <c r="F25" s="621">
        <v>0</v>
      </c>
      <c r="G25" s="21">
        <v>0</v>
      </c>
      <c r="H25" s="21">
        <v>0</v>
      </c>
      <c r="I25" s="21">
        <v>0</v>
      </c>
      <c r="J25" s="22">
        <v>0</v>
      </c>
      <c r="K25" s="292"/>
      <c r="L25" s="292"/>
      <c r="M25" s="998" t="s">
        <v>52</v>
      </c>
      <c r="N25" s="999"/>
      <c r="O25" s="16" t="s">
        <v>53</v>
      </c>
      <c r="P25" s="503">
        <v>0</v>
      </c>
      <c r="Q25" s="292"/>
      <c r="T25" s="17"/>
    </row>
    <row r="26" spans="1:20" x14ac:dyDescent="0.25">
      <c r="A26" s="292"/>
      <c r="B26" s="511"/>
      <c r="C26" s="512"/>
      <c r="D26" s="292"/>
      <c r="E26" s="620" t="s">
        <v>841</v>
      </c>
      <c r="F26" s="621">
        <v>0</v>
      </c>
      <c r="G26" s="21">
        <v>0</v>
      </c>
      <c r="H26" s="21">
        <v>0</v>
      </c>
      <c r="I26" s="21">
        <v>0</v>
      </c>
      <c r="J26" s="22">
        <v>0</v>
      </c>
      <c r="K26" s="292"/>
      <c r="L26" s="292"/>
      <c r="M26" s="998" t="s">
        <v>55</v>
      </c>
      <c r="N26" s="999"/>
      <c r="O26" s="16" t="s">
        <v>31</v>
      </c>
      <c r="P26" s="503">
        <f>IF(O26="Escrow Waived",NA(),0)</f>
        <v>0</v>
      </c>
      <c r="Q26" s="292"/>
      <c r="T26" s="17"/>
    </row>
    <row r="27" spans="1:20" ht="15.75" customHeight="1" x14ac:dyDescent="0.25">
      <c r="A27" s="292"/>
      <c r="B27" s="511"/>
      <c r="C27" s="512"/>
      <c r="D27" s="292"/>
      <c r="E27" s="620" t="s">
        <v>842</v>
      </c>
      <c r="F27" s="621">
        <v>0</v>
      </c>
      <c r="G27" s="21">
        <v>-0.25</v>
      </c>
      <c r="H27" s="21">
        <v>-0.25</v>
      </c>
      <c r="I27" s="21">
        <v>-0.25</v>
      </c>
      <c r="J27" s="22">
        <v>-0.25</v>
      </c>
      <c r="K27" s="292"/>
      <c r="L27" s="292"/>
      <c r="M27" s="998" t="s">
        <v>58</v>
      </c>
      <c r="N27" s="999"/>
      <c r="O27" s="16"/>
      <c r="P27" s="503">
        <v>0</v>
      </c>
      <c r="Q27" s="292"/>
      <c r="R27" s="3"/>
      <c r="T27" s="17"/>
    </row>
    <row r="28" spans="1:20" ht="15.75" customHeight="1" thickBot="1" x14ac:dyDescent="0.3">
      <c r="A28" s="292"/>
      <c r="B28" s="511"/>
      <c r="C28" s="512"/>
      <c r="D28" s="292"/>
      <c r="E28" s="645" t="s">
        <v>86</v>
      </c>
      <c r="F28" s="646">
        <v>0</v>
      </c>
      <c r="G28" s="21">
        <v>-0.25</v>
      </c>
      <c r="H28" s="21">
        <v>-0.25</v>
      </c>
      <c r="I28" s="21">
        <v>-0.25</v>
      </c>
      <c r="J28" s="22">
        <v>-0.25</v>
      </c>
      <c r="K28" s="292"/>
      <c r="L28" s="292"/>
      <c r="M28" s="998" t="s">
        <v>60</v>
      </c>
      <c r="N28" s="999"/>
      <c r="O28" s="16"/>
      <c r="P28" s="503">
        <v>0</v>
      </c>
      <c r="Q28" s="292"/>
      <c r="R28" s="3"/>
      <c r="T28" s="17"/>
    </row>
    <row r="29" spans="1:20" x14ac:dyDescent="0.25">
      <c r="A29" s="292"/>
      <c r="B29" s="511"/>
      <c r="C29" s="512"/>
      <c r="D29" s="292"/>
      <c r="E29" s="920" t="s">
        <v>50</v>
      </c>
      <c r="F29" s="793"/>
      <c r="G29" s="793"/>
      <c r="H29" s="793"/>
      <c r="I29" s="793"/>
      <c r="J29" s="976"/>
      <c r="K29" s="292"/>
      <c r="L29" s="292"/>
      <c r="M29" s="998" t="s">
        <v>62</v>
      </c>
      <c r="N29" s="999"/>
      <c r="O29" s="16" t="s">
        <v>31</v>
      </c>
      <c r="P29" s="503" t="e">
        <f>IF(O29="All Other States",0,NA())</f>
        <v>#N/A</v>
      </c>
      <c r="Q29" s="292"/>
      <c r="R29" s="24"/>
      <c r="T29" s="17"/>
    </row>
    <row r="30" spans="1:20" x14ac:dyDescent="0.25">
      <c r="A30" s="292"/>
      <c r="B30" s="511"/>
      <c r="C30" s="512"/>
      <c r="D30" s="292"/>
      <c r="E30" s="622" t="s">
        <v>847</v>
      </c>
      <c r="F30" s="623">
        <v>0</v>
      </c>
      <c r="G30" s="21">
        <v>0</v>
      </c>
      <c r="H30" s="21">
        <v>0</v>
      </c>
      <c r="I30" s="21">
        <v>0</v>
      </c>
      <c r="J30" s="22">
        <v>0</v>
      </c>
      <c r="K30" s="292"/>
      <c r="L30" s="292"/>
      <c r="M30" s="998" t="s">
        <v>64</v>
      </c>
      <c r="N30" s="999"/>
      <c r="O30" s="25" t="s">
        <v>31</v>
      </c>
      <c r="P30" s="503" t="e">
        <f>IF(OR(O30="",O11=""),NA(),IF(OR(O30="15 Day",O30="30 Day"),0,VLOOKUP(O30,$B$42:$C$43,2,FALSE)))</f>
        <v>#N/A</v>
      </c>
      <c r="Q30" s="292"/>
      <c r="T30" s="17"/>
    </row>
    <row r="31" spans="1:20" ht="15.75" thickBot="1" x14ac:dyDescent="0.3">
      <c r="A31" s="292"/>
      <c r="B31" s="511"/>
      <c r="C31" s="512"/>
      <c r="D31" s="292"/>
      <c r="E31" s="622" t="s">
        <v>843</v>
      </c>
      <c r="F31" s="623">
        <v>0</v>
      </c>
      <c r="G31" s="21">
        <v>-0.25</v>
      </c>
      <c r="H31" s="21">
        <v>-0.25</v>
      </c>
      <c r="I31" s="21">
        <v>-0.25</v>
      </c>
      <c r="J31" s="22">
        <v>-0.25</v>
      </c>
      <c r="K31" s="292"/>
      <c r="L31" s="292"/>
      <c r="M31" s="998" t="s">
        <v>66</v>
      </c>
      <c r="N31" s="999"/>
      <c r="O31" s="25" t="s">
        <v>31</v>
      </c>
      <c r="P31" s="503" cm="1">
        <f t="array" ref="P31">IF(OR(AND(OR($O$31='Feed(CoreFlex)'!$R$4:$R$5), $O$22&lt;&gt;'Feed(CoreFlex)'!$J$3),AND(OR($O$31='Feed(CoreFlex)'!$R$4:$R$5), $O$25&lt;&gt;'Feed(CoreFlex)'!$M$4),AND(OR($O$31='Feed(CoreFlex)'!$R$4:$R$5),$O$23&lt;&gt;'Feed(CoreFlex)'!$L$3:$L$4),),NA(),0)</f>
        <v>0</v>
      </c>
      <c r="Q31" s="292"/>
      <c r="T31" s="17"/>
    </row>
    <row r="32" spans="1:20" x14ac:dyDescent="0.25">
      <c r="A32" s="292"/>
      <c r="B32" s="511"/>
      <c r="C32" s="512"/>
      <c r="D32" s="292"/>
      <c r="E32" s="920" t="s">
        <v>33</v>
      </c>
      <c r="F32" s="793"/>
      <c r="G32" s="793"/>
      <c r="H32" s="793"/>
      <c r="I32" s="793"/>
      <c r="J32" s="976"/>
      <c r="K32" s="292"/>
      <c r="L32" s="292"/>
      <c r="M32" s="998" t="s">
        <v>69</v>
      </c>
      <c r="N32" s="999"/>
      <c r="O32" s="25" t="s">
        <v>31</v>
      </c>
      <c r="P32" s="503">
        <v>0</v>
      </c>
      <c r="Q32" s="292"/>
      <c r="T32" s="17"/>
    </row>
    <row r="33" spans="1:20" ht="15.75" customHeight="1" x14ac:dyDescent="0.25">
      <c r="A33" s="292"/>
      <c r="B33" s="511"/>
      <c r="C33" s="512"/>
      <c r="D33" s="292"/>
      <c r="E33" s="622" t="s">
        <v>34</v>
      </c>
      <c r="F33" s="623">
        <v>0</v>
      </c>
      <c r="G33" s="21">
        <v>0</v>
      </c>
      <c r="H33" s="21">
        <v>0</v>
      </c>
      <c r="I33" s="21">
        <v>0</v>
      </c>
      <c r="J33" s="22">
        <v>0</v>
      </c>
      <c r="K33" s="292"/>
      <c r="L33" s="292"/>
      <c r="M33" s="998" t="s">
        <v>71</v>
      </c>
      <c r="N33" s="999"/>
      <c r="O33" s="26" t="s">
        <v>31</v>
      </c>
      <c r="P33" s="503">
        <f>'Feed(CoreFlex)'!$B$46</f>
        <v>0</v>
      </c>
      <c r="Q33" s="292"/>
      <c r="T33" s="17"/>
    </row>
    <row r="34" spans="1:20" ht="15.75" thickBot="1" x14ac:dyDescent="0.3">
      <c r="A34" s="292"/>
      <c r="B34" s="511"/>
      <c r="C34" s="512"/>
      <c r="D34" s="292"/>
      <c r="E34" s="622" t="s">
        <v>166</v>
      </c>
      <c r="F34" s="623">
        <v>0</v>
      </c>
      <c r="G34" s="21">
        <v>-0.5</v>
      </c>
      <c r="H34" s="21">
        <v>-0.5</v>
      </c>
      <c r="I34" s="21">
        <v>-0.5</v>
      </c>
      <c r="J34" s="22" t="e">
        <v>#N/A</v>
      </c>
      <c r="K34" s="292"/>
      <c r="L34" s="292"/>
      <c r="M34" s="998" t="s">
        <v>769</v>
      </c>
      <c r="N34" s="999"/>
      <c r="O34" s="25" t="s">
        <v>766</v>
      </c>
      <c r="P34" s="503">
        <f>IF(O34="Tier 1 States",J42,IF(O34="Tier 2 States",J44,IF(O34="Tier 3 States",J46,"0.000")))</f>
        <v>0</v>
      </c>
      <c r="Q34" s="292"/>
    </row>
    <row r="35" spans="1:20" ht="15.75" customHeight="1" x14ac:dyDescent="0.25">
      <c r="A35" s="292"/>
      <c r="B35" s="511"/>
      <c r="C35" s="512"/>
      <c r="D35" s="292"/>
      <c r="E35" s="920" t="s">
        <v>143</v>
      </c>
      <c r="F35" s="793"/>
      <c r="G35" s="793"/>
      <c r="H35" s="793"/>
      <c r="I35" s="793"/>
      <c r="J35" s="976"/>
      <c r="K35" s="292"/>
      <c r="L35" s="292"/>
      <c r="M35" s="998" t="str">
        <f>IF('Feed(WS)'!Z1=0,"",INDEX('Feed(WS)'!$AA$1:$AA$3,MATCH('Feed(WS)'!Z1,'Feed(WS)'!$Z$1:$Z$3,0)))</f>
        <v>Special</v>
      </c>
      <c r="N35" s="999"/>
      <c r="O35" s="26" t="str">
        <f>IF(P35=FALSE,"Not Applicable","Yes")</f>
        <v>Not Applicable</v>
      </c>
      <c r="P35" s="503" t="b">
        <f>'Feed(CoreFlex)'!$A$20</f>
        <v>0</v>
      </c>
      <c r="Q35" s="292"/>
    </row>
    <row r="36" spans="1:20" x14ac:dyDescent="0.25">
      <c r="A36" s="292"/>
      <c r="B36" s="511"/>
      <c r="C36" s="512"/>
      <c r="D36" s="292"/>
      <c r="E36" s="620" t="s">
        <v>838</v>
      </c>
      <c r="F36" s="621">
        <v>0</v>
      </c>
      <c r="G36" s="21">
        <v>-0.25</v>
      </c>
      <c r="H36" s="21">
        <v>-0.25</v>
      </c>
      <c r="I36" s="21">
        <v>-0.25</v>
      </c>
      <c r="J36" s="22">
        <v>-0.25</v>
      </c>
      <c r="K36" s="292"/>
      <c r="L36" s="292"/>
      <c r="M36" s="923" t="s">
        <v>77</v>
      </c>
      <c r="N36" s="924"/>
      <c r="O36" s="925"/>
      <c r="P36" s="438" t="e">
        <f>SUM($P$12:$P$35)</f>
        <v>#N/A</v>
      </c>
      <c r="Q36" s="292"/>
    </row>
    <row r="37" spans="1:20" ht="15.75" thickBot="1" x14ac:dyDescent="0.3">
      <c r="A37" s="292"/>
      <c r="B37" s="511"/>
      <c r="C37" s="512"/>
      <c r="D37" s="292"/>
      <c r="E37" s="688" t="s">
        <v>839</v>
      </c>
      <c r="F37" s="689">
        <v>0</v>
      </c>
      <c r="G37" s="42">
        <v>-0.25</v>
      </c>
      <c r="H37" s="42">
        <v>-0.25</v>
      </c>
      <c r="I37" s="42">
        <v>-0.25</v>
      </c>
      <c r="J37" s="43">
        <v>-0.25</v>
      </c>
      <c r="K37" s="292"/>
      <c r="L37" s="292"/>
      <c r="M37" s="923" t="s">
        <v>79</v>
      </c>
      <c r="N37" s="924"/>
      <c r="O37" s="925"/>
      <c r="P37" s="438" t="str">
        <f>IFERROR(INDEX(C10:C37,MATCH(O10,B10:B37,0),MATCH(O17,C10:C10,0)),"#N/A")</f>
        <v>#N/A</v>
      </c>
      <c r="Q37" s="292"/>
      <c r="S37" s="24"/>
    </row>
    <row r="38" spans="1:20" ht="15.75" customHeight="1" x14ac:dyDescent="0.25">
      <c r="A38" s="292"/>
      <c r="B38" s="495"/>
      <c r="C38" s="497"/>
      <c r="D38" s="292"/>
      <c r="E38" s="495"/>
      <c r="F38" s="496"/>
      <c r="G38" s="496"/>
      <c r="H38" s="496"/>
      <c r="I38" s="496"/>
      <c r="J38" s="497"/>
      <c r="K38" s="292"/>
      <c r="L38" s="292"/>
      <c r="M38" s="923" t="s">
        <v>81</v>
      </c>
      <c r="N38" s="924"/>
      <c r="O38" s="925"/>
      <c r="P38" s="438" t="e">
        <f>IFERROR(P37+P36,NA())</f>
        <v>#N/A</v>
      </c>
      <c r="Q38" s="292"/>
    </row>
    <row r="39" spans="1:20" ht="15.75" customHeight="1" x14ac:dyDescent="0.25">
      <c r="A39" s="292"/>
      <c r="B39" s="513"/>
      <c r="C39" s="514"/>
      <c r="D39" s="292"/>
      <c r="E39" s="513"/>
      <c r="F39" s="515"/>
      <c r="G39" s="515"/>
      <c r="H39" s="515"/>
      <c r="I39" s="515"/>
      <c r="J39" s="514"/>
      <c r="K39" s="292"/>
      <c r="L39" s="292"/>
      <c r="M39" s="923" t="s">
        <v>83</v>
      </c>
      <c r="N39" s="924"/>
      <c r="O39" s="925"/>
      <c r="P39" s="438">
        <f>IF(OR('Feed(CoreFlex)'!$E$126=0,ISERROR('Feed(CoreFlex)'!$E$126)),NA(),'Feed(CoreFlex)'!$E$126)</f>
        <v>99.5</v>
      </c>
      <c r="Q39" s="292"/>
    </row>
    <row r="40" spans="1:20" ht="15.75" customHeight="1" thickBot="1" x14ac:dyDescent="0.3">
      <c r="A40" s="292"/>
      <c r="B40" s="499"/>
      <c r="C40" s="501"/>
      <c r="D40" s="292"/>
      <c r="E40" s="995" t="s">
        <v>829</v>
      </c>
      <c r="F40" s="996"/>
      <c r="G40" s="996"/>
      <c r="H40" s="996"/>
      <c r="I40" s="996"/>
      <c r="J40" s="997"/>
      <c r="K40" s="292"/>
      <c r="L40" s="292"/>
      <c r="M40" s="766" t="s">
        <v>85</v>
      </c>
      <c r="N40" s="767"/>
      <c r="O40" s="768"/>
      <c r="P40" s="200" t="e">
        <f>IF(OR($P$36="#NA",$P$37="#NA"),NA(),IF($O$10&lt;&gt;'Feed(CoreFlex)'!$K$113,"Max Price "&amp;B46&amp;" @ "&amp;O10,IF($P$38&gt;$P$39,$P$39,$P$38)))</f>
        <v>#N/A</v>
      </c>
      <c r="Q40" s="292"/>
    </row>
    <row r="41" spans="1:20" ht="15.75" customHeight="1" x14ac:dyDescent="0.25">
      <c r="A41" s="292"/>
      <c r="B41" s="495" t="s">
        <v>64</v>
      </c>
      <c r="C41" s="495" t="s">
        <v>101</v>
      </c>
      <c r="D41" s="292"/>
      <c r="E41" s="920" t="s">
        <v>830</v>
      </c>
      <c r="F41" s="793"/>
      <c r="G41" s="793"/>
      <c r="H41" s="793"/>
      <c r="I41" s="793"/>
      <c r="J41" s="976"/>
      <c r="K41" s="292"/>
      <c r="L41" s="292"/>
      <c r="M41" s="790" t="str" cm="1">
        <f t="array" ref="M41">IF(OR($O$11:$O$25="Choose a Selection"),"",CONCATENATE('Feed(WS)'!$I$134," ",'Feed(WS)'!$K$134,"%"&amp;" @ "&amp;'Feed(WS)'!$L$134))</f>
        <v/>
      </c>
      <c r="N41" s="791"/>
      <c r="O41" s="791"/>
      <c r="P41" s="792"/>
      <c r="Q41" s="292"/>
    </row>
    <row r="42" spans="1:20" ht="15.75" customHeight="1" thickBot="1" x14ac:dyDescent="0.3">
      <c r="A42" s="292"/>
      <c r="B42" s="27" t="s">
        <v>106</v>
      </c>
      <c r="C42" s="28">
        <v>-0.25</v>
      </c>
      <c r="D42" s="292"/>
      <c r="E42" s="630" t="s">
        <v>766</v>
      </c>
      <c r="F42" s="680" t="s">
        <v>954</v>
      </c>
      <c r="G42" s="681"/>
      <c r="H42" s="681"/>
      <c r="I42" s="682"/>
      <c r="J42" s="678">
        <v>0</v>
      </c>
      <c r="K42" s="292"/>
      <c r="L42" s="292"/>
      <c r="M42" s="885" t="s">
        <v>759</v>
      </c>
      <c r="N42" s="886"/>
      <c r="O42" s="886"/>
      <c r="P42" s="886"/>
      <c r="Q42" s="292"/>
    </row>
    <row r="43" spans="1:20" ht="15.75" customHeight="1" thickBot="1" x14ac:dyDescent="0.3">
      <c r="A43" s="292"/>
      <c r="B43" s="616" t="s">
        <v>111</v>
      </c>
      <c r="C43" s="617">
        <v>-0.5</v>
      </c>
      <c r="D43" s="292"/>
      <c r="E43" s="630"/>
      <c r="F43" s="683"/>
      <c r="G43" s="684"/>
      <c r="H43" s="684"/>
      <c r="I43" s="685"/>
      <c r="J43" s="679"/>
      <c r="K43" s="292"/>
      <c r="L43" s="292"/>
      <c r="M43" s="911" t="s">
        <v>760</v>
      </c>
      <c r="N43" s="912"/>
      <c r="O43" s="887">
        <v>500000</v>
      </c>
      <c r="P43" s="888"/>
      <c r="Q43" s="292"/>
    </row>
    <row r="44" spans="1:20" ht="15.75" customHeight="1" thickBot="1" x14ac:dyDescent="0.3">
      <c r="A44" s="292"/>
      <c r="B44" s="326"/>
      <c r="C44" s="328"/>
      <c r="D44" s="292"/>
      <c r="E44" s="630" t="s">
        <v>767</v>
      </c>
      <c r="F44" s="680" t="s">
        <v>778</v>
      </c>
      <c r="G44" s="681"/>
      <c r="H44" s="681"/>
      <c r="I44" s="682"/>
      <c r="J44" s="678">
        <v>0.15</v>
      </c>
      <c r="K44" s="292"/>
      <c r="L44" s="292"/>
      <c r="M44" s="911" t="s">
        <v>761</v>
      </c>
      <c r="N44" s="912"/>
      <c r="O44" s="466">
        <v>2.25</v>
      </c>
      <c r="P44" s="467">
        <f>O44/100*O43</f>
        <v>11250</v>
      </c>
      <c r="Q44" s="292"/>
    </row>
    <row r="45" spans="1:20" ht="15.75" customHeight="1" thickBot="1" x14ac:dyDescent="0.3">
      <c r="A45" s="292"/>
      <c r="B45" s="903" t="s">
        <v>103</v>
      </c>
      <c r="C45" s="977"/>
      <c r="D45" s="292"/>
      <c r="E45" s="630"/>
      <c r="F45" s="683"/>
      <c r="G45" s="684"/>
      <c r="H45" s="684"/>
      <c r="I45" s="685"/>
      <c r="J45" s="679"/>
      <c r="K45" s="292"/>
      <c r="L45" s="292"/>
      <c r="M45" s="911" t="s">
        <v>762</v>
      </c>
      <c r="N45" s="912"/>
      <c r="O45" s="465"/>
      <c r="P45" s="468">
        <f>O45/O43*100</f>
        <v>0</v>
      </c>
      <c r="Q45" s="292"/>
    </row>
    <row r="46" spans="1:20" ht="15.75" customHeight="1" thickBot="1" x14ac:dyDescent="0.3">
      <c r="A46" s="292"/>
      <c r="B46" s="788">
        <v>99.5</v>
      </c>
      <c r="C46" s="789"/>
      <c r="D46" s="292"/>
      <c r="E46" s="630" t="s">
        <v>768</v>
      </c>
      <c r="F46" s="672" t="s">
        <v>955</v>
      </c>
      <c r="G46" s="673"/>
      <c r="H46" s="673"/>
      <c r="I46" s="674"/>
      <c r="J46" s="678">
        <v>0.25</v>
      </c>
      <c r="K46" s="292"/>
      <c r="L46" s="292"/>
      <c r="M46" s="911" t="s">
        <v>763</v>
      </c>
      <c r="N46" s="912"/>
      <c r="O46" s="889">
        <f>O44+P45</f>
        <v>2.25</v>
      </c>
      <c r="P46" s="890"/>
      <c r="Q46" s="292"/>
    </row>
    <row r="47" spans="1:20" ht="15.75" customHeight="1" thickBot="1" x14ac:dyDescent="0.3">
      <c r="A47" s="292"/>
      <c r="B47" s="920" t="s">
        <v>104</v>
      </c>
      <c r="C47" s="976"/>
      <c r="D47" s="292"/>
      <c r="E47" s="630"/>
      <c r="F47" s="675"/>
      <c r="G47" s="676"/>
      <c r="H47" s="676"/>
      <c r="I47" s="677"/>
      <c r="J47" s="679"/>
      <c r="K47" s="292"/>
      <c r="L47" s="292"/>
      <c r="M47" s="871" t="s">
        <v>764</v>
      </c>
      <c r="N47" s="872"/>
      <c r="O47" s="873" t="e">
        <f>P40-O46</f>
        <v>#N/A</v>
      </c>
      <c r="P47" s="874"/>
      <c r="Q47" s="292"/>
    </row>
    <row r="48" spans="1:20" ht="15.75" customHeight="1" thickBot="1" x14ac:dyDescent="0.3">
      <c r="A48" s="292"/>
      <c r="B48" s="788" t="s">
        <v>831</v>
      </c>
      <c r="C48" s="789"/>
      <c r="D48" s="292"/>
      <c r="E48" s="920" t="s">
        <v>115</v>
      </c>
      <c r="F48" s="793"/>
      <c r="G48" s="793"/>
      <c r="H48" s="793"/>
      <c r="I48" s="793"/>
      <c r="J48" s="976"/>
      <c r="K48" s="292"/>
      <c r="L48" s="292"/>
      <c r="M48" s="978" t="s">
        <v>956</v>
      </c>
      <c r="N48" s="979"/>
      <c r="O48" s="979"/>
      <c r="P48" s="980"/>
      <c r="Q48" s="292"/>
    </row>
    <row r="49" spans="1:21" ht="15.75" customHeight="1" x14ac:dyDescent="0.25">
      <c r="A49" s="292"/>
      <c r="B49" s="920" t="s">
        <v>153</v>
      </c>
      <c r="C49" s="976"/>
      <c r="D49" s="292"/>
      <c r="E49" s="984" t="s">
        <v>948</v>
      </c>
      <c r="F49" s="985"/>
      <c r="G49" s="985"/>
      <c r="H49" s="985"/>
      <c r="I49" s="985"/>
      <c r="J49" s="986"/>
      <c r="K49" s="292"/>
      <c r="L49" s="292"/>
      <c r="M49" s="981"/>
      <c r="N49" s="982"/>
      <c r="O49" s="982"/>
      <c r="P49" s="983"/>
      <c r="Q49" s="292"/>
    </row>
    <row r="50" spans="1:21" ht="15.75" customHeight="1" x14ac:dyDescent="0.25">
      <c r="A50" s="292"/>
      <c r="B50" s="990" t="s">
        <v>156</v>
      </c>
      <c r="C50" s="991"/>
      <c r="D50" s="292"/>
      <c r="E50" s="669"/>
      <c r="F50" s="670"/>
      <c r="G50" s="670"/>
      <c r="H50" s="670"/>
      <c r="I50" s="670"/>
      <c r="J50" s="671"/>
      <c r="K50" s="292"/>
      <c r="L50" s="292"/>
      <c r="M50" s="284"/>
      <c r="N50" s="284"/>
      <c r="O50" s="284"/>
      <c r="P50" s="284"/>
      <c r="Q50" s="292"/>
    </row>
    <row r="51" spans="1:21" ht="15.75" customHeight="1" x14ac:dyDescent="0.25">
      <c r="A51" s="292"/>
      <c r="B51" s="284"/>
      <c r="C51" s="284"/>
      <c r="D51" s="292"/>
      <c r="E51" s="669"/>
      <c r="F51" s="670"/>
      <c r="G51" s="670"/>
      <c r="H51" s="670"/>
      <c r="I51" s="670"/>
      <c r="J51" s="671"/>
      <c r="K51" s="292"/>
      <c r="L51" s="292"/>
      <c r="M51" s="992" t="s">
        <v>957</v>
      </c>
      <c r="N51" s="993"/>
      <c r="O51" s="993"/>
      <c r="P51" s="994"/>
      <c r="Q51" s="292"/>
    </row>
    <row r="52" spans="1:21" ht="15.75" customHeight="1" x14ac:dyDescent="0.25">
      <c r="A52" s="292"/>
      <c r="B52" s="284"/>
      <c r="C52" s="284"/>
      <c r="D52" s="292"/>
      <c r="E52" s="669"/>
      <c r="F52" s="670"/>
      <c r="G52" s="670"/>
      <c r="H52" s="670"/>
      <c r="I52" s="670"/>
      <c r="J52" s="671"/>
      <c r="K52" s="292"/>
      <c r="L52" s="292"/>
      <c r="M52" s="284"/>
      <c r="N52" s="284"/>
      <c r="O52" s="284"/>
      <c r="P52" s="284"/>
      <c r="Q52" s="292"/>
    </row>
    <row r="53" spans="1:21" ht="15.75" customHeight="1" x14ac:dyDescent="0.25">
      <c r="A53" s="292"/>
      <c r="B53" s="284"/>
      <c r="C53" s="284"/>
      <c r="D53" s="292"/>
      <c r="E53" s="669"/>
      <c r="F53" s="670"/>
      <c r="G53" s="670"/>
      <c r="H53" s="670"/>
      <c r="I53" s="670"/>
      <c r="J53" s="671"/>
      <c r="K53" s="292"/>
      <c r="L53" s="292"/>
      <c r="M53" s="284"/>
      <c r="N53" s="284"/>
      <c r="O53" s="284"/>
      <c r="P53" s="284"/>
      <c r="Q53" s="292"/>
      <c r="R53" s="498"/>
      <c r="S53" s="498"/>
      <c r="T53" s="498"/>
      <c r="U53" s="498"/>
    </row>
    <row r="54" spans="1:21" ht="15.75" customHeight="1" x14ac:dyDescent="0.25">
      <c r="A54" s="292"/>
      <c r="B54" s="284"/>
      <c r="C54" s="284"/>
      <c r="D54" s="292"/>
      <c r="E54" s="669"/>
      <c r="F54" s="670"/>
      <c r="G54" s="670"/>
      <c r="H54" s="670"/>
      <c r="I54" s="670"/>
      <c r="J54" s="671"/>
      <c r="K54" s="292"/>
      <c r="L54" s="292"/>
      <c r="M54" s="284"/>
      <c r="N54" s="284"/>
      <c r="O54" s="284"/>
      <c r="P54" s="284"/>
      <c r="Q54" s="292"/>
    </row>
    <row r="55" spans="1:21" ht="15.75" customHeight="1" x14ac:dyDescent="0.25">
      <c r="A55" s="292"/>
      <c r="B55" s="284"/>
      <c r="C55" s="284"/>
      <c r="D55" s="292"/>
      <c r="E55" s="987"/>
      <c r="F55" s="988"/>
      <c r="G55" s="988"/>
      <c r="H55" s="988"/>
      <c r="I55" s="988"/>
      <c r="J55" s="989"/>
      <c r="K55" s="292"/>
      <c r="L55" s="292"/>
      <c r="M55" s="284"/>
      <c r="N55" s="284"/>
      <c r="O55" s="284"/>
      <c r="P55" s="284"/>
      <c r="Q55" s="292"/>
    </row>
    <row r="56" spans="1:21" ht="15.75" customHeight="1" x14ac:dyDescent="0.25">
      <c r="A56" s="292"/>
      <c r="B56" s="284"/>
      <c r="C56" s="284"/>
      <c r="D56" s="292"/>
      <c r="E56" s="284"/>
      <c r="F56" s="284"/>
      <c r="G56" s="284"/>
      <c r="H56" s="284"/>
      <c r="I56" s="284"/>
      <c r="J56" s="284"/>
      <c r="K56" s="292"/>
      <c r="L56" s="292"/>
      <c r="M56" s="284"/>
      <c r="N56" s="284"/>
      <c r="O56" s="284"/>
      <c r="P56" s="284"/>
      <c r="Q56" s="292"/>
    </row>
    <row r="57" spans="1:21" ht="15.75" customHeight="1" x14ac:dyDescent="0.25">
      <c r="A57" s="292"/>
      <c r="B57" s="284"/>
      <c r="C57" s="284"/>
      <c r="D57" s="292"/>
      <c r="E57" s="284"/>
      <c r="F57" s="284"/>
      <c r="G57" s="284"/>
      <c r="H57" s="284"/>
      <c r="I57" s="284"/>
      <c r="J57" s="284"/>
      <c r="K57" s="292"/>
      <c r="L57" s="292"/>
      <c r="M57" s="284"/>
      <c r="N57" s="284"/>
      <c r="O57" s="284"/>
      <c r="P57" s="284"/>
      <c r="Q57" s="292"/>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s9uKouJ6hkFUO0XDOqCDSiJMIQqZRo8oE//4qG583WkMhe1caVP0HtNQyGEzuHw8lHwOJiRqh/2unXw6jWw9Bw==" saltValue="zbRNiJFyKLcxIDt//EIV7Q==" spinCount="100000" sheet="1" objects="1" scenarios="1"/>
  <mergeCells count="96">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3:F13"/>
    <mergeCell ref="M13:N13"/>
    <mergeCell ref="E14:F14"/>
    <mergeCell ref="M14:N14"/>
    <mergeCell ref="E15:F15"/>
    <mergeCell ref="M15:N15"/>
    <mergeCell ref="E16:F16"/>
    <mergeCell ref="M16:N16"/>
    <mergeCell ref="M17:N17"/>
    <mergeCell ref="M18:N18"/>
    <mergeCell ref="E19:J19"/>
    <mergeCell ref="M19:N19"/>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35:J35"/>
    <mergeCell ref="M35:N35"/>
    <mergeCell ref="E36:F36"/>
    <mergeCell ref="M36:O36"/>
    <mergeCell ref="E37:F37"/>
    <mergeCell ref="M37:O37"/>
    <mergeCell ref="M38:O38"/>
    <mergeCell ref="M39:O39"/>
    <mergeCell ref="E40:J40"/>
    <mergeCell ref="M40:O40"/>
    <mergeCell ref="E41:J41"/>
    <mergeCell ref="M41:P41"/>
    <mergeCell ref="E42:E43"/>
    <mergeCell ref="F42:I43"/>
    <mergeCell ref="J42:J43"/>
    <mergeCell ref="M42:P42"/>
    <mergeCell ref="M43:N43"/>
    <mergeCell ref="O43:P43"/>
    <mergeCell ref="B48:C48"/>
    <mergeCell ref="E48:J48"/>
    <mergeCell ref="M48:P49"/>
    <mergeCell ref="B49:C49"/>
    <mergeCell ref="E49:J55"/>
    <mergeCell ref="B50:C50"/>
    <mergeCell ref="M51:P51"/>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s>
  <conditionalFormatting sqref="C13:C25">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Normal="100" workbookViewId="0">
      <selection sqref="A1:E1"/>
    </sheetView>
  </sheetViews>
  <sheetFormatPr defaultRowHeight="15" x14ac:dyDescent="0.25"/>
  <cols>
    <col min="1" max="1" width="20.7109375" style="428" customWidth="1"/>
    <col min="2" max="2" width="36.42578125" style="428" customWidth="1"/>
    <col min="3" max="3" width="28.140625" style="428" customWidth="1"/>
    <col min="4" max="5" width="26.42578125" style="428" customWidth="1"/>
    <col min="6" max="6" width="9.140625" style="428"/>
    <col min="7" max="7" width="34" style="446" customWidth="1"/>
    <col min="8" max="8" width="34" style="428" customWidth="1"/>
    <col min="9" max="10" width="33.140625" style="428" customWidth="1"/>
    <col min="11" max="11" width="22.28515625" style="428" customWidth="1"/>
    <col min="12" max="15" width="9.140625" style="428"/>
    <col min="16" max="16" width="14.42578125" style="428" customWidth="1"/>
    <col min="17" max="16384" width="9.140625" style="428"/>
  </cols>
  <sheetData>
    <row r="1" spans="1:17" ht="123" customHeight="1" thickBot="1" x14ac:dyDescent="0.3">
      <c r="A1" s="1035" t="s">
        <v>823</v>
      </c>
      <c r="B1" s="1036"/>
      <c r="C1" s="1036"/>
      <c r="D1" s="1036"/>
      <c r="E1" s="1037"/>
      <c r="F1" s="480"/>
    </row>
    <row r="2" spans="1:17" ht="15" customHeight="1" thickBot="1" x14ac:dyDescent="0.3">
      <c r="A2" s="1054" t="s">
        <v>770</v>
      </c>
      <c r="B2" s="1055"/>
      <c r="C2" s="1055"/>
      <c r="D2" s="1055"/>
      <c r="E2" s="1056"/>
      <c r="G2" s="1009" t="s">
        <v>748</v>
      </c>
      <c r="H2" s="1010"/>
      <c r="I2" s="1013" t="s">
        <v>741</v>
      </c>
      <c r="J2" s="1014"/>
      <c r="L2" s="449"/>
      <c r="M2" s="724"/>
      <c r="N2" s="724"/>
      <c r="P2" s="447"/>
      <c r="Q2" s="446"/>
    </row>
    <row r="3" spans="1:17" x14ac:dyDescent="0.25">
      <c r="A3" s="600" t="s">
        <v>869</v>
      </c>
      <c r="B3" s="600" t="s">
        <v>870</v>
      </c>
      <c r="C3" s="1007" t="s">
        <v>871</v>
      </c>
      <c r="D3" s="1008"/>
      <c r="E3" s="600" t="s">
        <v>872</v>
      </c>
      <c r="G3" s="1011"/>
      <c r="H3" s="1012"/>
      <c r="I3" s="1015" t="s">
        <v>746</v>
      </c>
      <c r="J3" s="1016"/>
      <c r="L3" s="449"/>
      <c r="M3" s="725"/>
      <c r="N3" s="725"/>
      <c r="P3" s="447"/>
      <c r="Q3" s="446"/>
    </row>
    <row r="4" spans="1:17" ht="15.75" thickBot="1" x14ac:dyDescent="0.3">
      <c r="A4" s="600" t="s">
        <v>873</v>
      </c>
      <c r="B4" s="600" t="s">
        <v>874</v>
      </c>
      <c r="C4" s="1007" t="s">
        <v>875</v>
      </c>
      <c r="D4" s="1008"/>
      <c r="E4" s="600" t="s">
        <v>876</v>
      </c>
      <c r="G4" s="1011"/>
      <c r="H4" s="1012"/>
      <c r="I4" s="1017"/>
      <c r="J4" s="1018"/>
      <c r="L4" s="449"/>
      <c r="M4" s="725"/>
      <c r="N4" s="725"/>
      <c r="P4" s="447"/>
      <c r="Q4" s="446"/>
    </row>
    <row r="5" spans="1:17" ht="15.75" thickBot="1" x14ac:dyDescent="0.3">
      <c r="A5" s="600" t="s">
        <v>877</v>
      </c>
      <c r="B5" s="600" t="s">
        <v>878</v>
      </c>
      <c r="C5" s="1007" t="s">
        <v>879</v>
      </c>
      <c r="D5" s="1008"/>
      <c r="E5" s="600" t="s">
        <v>880</v>
      </c>
      <c r="G5" s="1019" t="s">
        <v>749</v>
      </c>
      <c r="H5" s="1020"/>
      <c r="I5" s="1013" t="s">
        <v>742</v>
      </c>
      <c r="J5" s="1014"/>
      <c r="L5" s="449"/>
      <c r="M5" s="724"/>
      <c r="N5" s="724"/>
    </row>
    <row r="6" spans="1:17" ht="15" customHeight="1" x14ac:dyDescent="0.25">
      <c r="A6" s="600" t="s">
        <v>881</v>
      </c>
      <c r="B6" s="600" t="s">
        <v>882</v>
      </c>
      <c r="C6" s="1007" t="s">
        <v>883</v>
      </c>
      <c r="D6" s="1008"/>
      <c r="E6" s="600" t="s">
        <v>884</v>
      </c>
      <c r="G6" s="1021"/>
      <c r="H6" s="1020"/>
      <c r="I6" s="1015" t="s">
        <v>744</v>
      </c>
      <c r="J6" s="1016"/>
      <c r="L6" s="450"/>
      <c r="M6" s="725"/>
      <c r="N6" s="725"/>
      <c r="P6" s="446"/>
    </row>
    <row r="7" spans="1:17" x14ac:dyDescent="0.25">
      <c r="A7" s="600" t="s">
        <v>885</v>
      </c>
      <c r="B7" s="600" t="s">
        <v>886</v>
      </c>
      <c r="C7" s="1007" t="s">
        <v>887</v>
      </c>
      <c r="D7" s="1008"/>
      <c r="E7" s="600" t="s">
        <v>888</v>
      </c>
      <c r="G7" s="1019" t="s">
        <v>750</v>
      </c>
      <c r="H7" s="1020"/>
      <c r="I7" s="1019"/>
      <c r="J7" s="1022"/>
      <c r="L7" s="450"/>
      <c r="M7" s="725"/>
      <c r="N7" s="725"/>
      <c r="P7" s="446"/>
    </row>
    <row r="8" spans="1:17" ht="15.75" thickBot="1" x14ac:dyDescent="0.3">
      <c r="A8" s="600" t="s">
        <v>889</v>
      </c>
      <c r="B8" s="600" t="s">
        <v>890</v>
      </c>
      <c r="C8" s="1007" t="s">
        <v>891</v>
      </c>
      <c r="D8" s="1008"/>
      <c r="E8" s="600" t="s">
        <v>892</v>
      </c>
      <c r="G8" s="1021"/>
      <c r="H8" s="1020"/>
      <c r="I8" s="1017"/>
      <c r="J8" s="1018"/>
      <c r="M8" s="725"/>
      <c r="N8" s="725"/>
      <c r="P8" s="446"/>
    </row>
    <row r="9" spans="1:17" ht="15" customHeight="1" thickBot="1" x14ac:dyDescent="0.3">
      <c r="A9" s="600" t="s">
        <v>893</v>
      </c>
      <c r="B9" s="600" t="s">
        <v>894</v>
      </c>
      <c r="C9" s="1007" t="s">
        <v>895</v>
      </c>
      <c r="D9" s="1008"/>
      <c r="E9" s="600" t="s">
        <v>896</v>
      </c>
      <c r="G9" s="1019" t="s">
        <v>751</v>
      </c>
      <c r="H9" s="1022"/>
      <c r="I9" s="1013" t="s">
        <v>743</v>
      </c>
      <c r="J9" s="1014"/>
      <c r="L9" s="450"/>
      <c r="M9" s="724"/>
      <c r="N9" s="724"/>
    </row>
    <row r="10" spans="1:17" ht="15.75" thickBot="1" x14ac:dyDescent="0.3">
      <c r="A10" s="600" t="s">
        <v>897</v>
      </c>
      <c r="B10" s="600" t="s">
        <v>898</v>
      </c>
      <c r="C10" s="1007" t="s">
        <v>899</v>
      </c>
      <c r="D10" s="1008"/>
      <c r="E10" s="600" t="s">
        <v>900</v>
      </c>
      <c r="G10" s="1019"/>
      <c r="H10" s="1022"/>
      <c r="I10" s="1025" t="s">
        <v>745</v>
      </c>
      <c r="J10" s="1026"/>
      <c r="L10" s="450"/>
      <c r="M10" s="726"/>
      <c r="N10" s="726"/>
    </row>
    <row r="11" spans="1:17" x14ac:dyDescent="0.25">
      <c r="A11" s="600" t="s">
        <v>901</v>
      </c>
      <c r="B11" s="600" t="s">
        <v>902</v>
      </c>
      <c r="C11" s="1007" t="s">
        <v>903</v>
      </c>
      <c r="D11" s="1008"/>
      <c r="E11" s="600" t="s">
        <v>904</v>
      </c>
      <c r="G11" s="1019" t="s">
        <v>752</v>
      </c>
      <c r="H11" s="1020"/>
      <c r="J11" s="448"/>
    </row>
    <row r="12" spans="1:17" ht="15" customHeight="1" x14ac:dyDescent="0.25">
      <c r="A12" s="600" t="s">
        <v>905</v>
      </c>
      <c r="B12" s="600" t="s">
        <v>906</v>
      </c>
      <c r="C12" s="1007" t="s">
        <v>907</v>
      </c>
      <c r="D12" s="1008"/>
      <c r="E12" s="600" t="s">
        <v>908</v>
      </c>
      <c r="G12" s="1021"/>
      <c r="H12" s="1020"/>
      <c r="I12" s="450"/>
      <c r="J12" s="450"/>
      <c r="K12" s="450"/>
      <c r="L12" s="450"/>
    </row>
    <row r="13" spans="1:17" ht="15.75" thickBot="1" x14ac:dyDescent="0.3">
      <c r="A13" s="1040" t="s">
        <v>771</v>
      </c>
      <c r="B13" s="1041"/>
      <c r="C13" s="1041"/>
      <c r="D13" s="1041"/>
      <c r="E13" s="1042"/>
      <c r="G13" s="1023"/>
      <c r="H13" s="1024"/>
      <c r="I13" s="450"/>
      <c r="J13" s="450"/>
      <c r="L13" s="450"/>
    </row>
    <row r="14" spans="1:17" ht="15.75" thickBot="1" x14ac:dyDescent="0.3">
      <c r="A14" s="1043" t="s">
        <v>909</v>
      </c>
      <c r="B14" s="1044"/>
      <c r="C14" s="1044"/>
      <c r="D14" s="1045"/>
      <c r="E14" s="600" t="s">
        <v>910</v>
      </c>
    </row>
    <row r="15" spans="1:17" ht="15.75" thickBot="1" x14ac:dyDescent="0.3">
      <c r="A15" s="1046"/>
      <c r="B15" s="1047"/>
      <c r="C15" s="1047"/>
      <c r="D15" s="1048"/>
      <c r="E15" s="601" t="s">
        <v>911</v>
      </c>
      <c r="G15" s="1029" t="s">
        <v>747</v>
      </c>
      <c r="H15" s="1030"/>
      <c r="I15" s="479"/>
      <c r="J15" s="479"/>
      <c r="K15" s="448"/>
      <c r="L15" s="448"/>
    </row>
    <row r="16" spans="1:17" ht="48.75" customHeight="1" x14ac:dyDescent="0.25">
      <c r="A16" s="1049" t="s">
        <v>772</v>
      </c>
      <c r="B16" s="1050"/>
      <c r="C16" s="1050"/>
      <c r="D16" s="1050"/>
      <c r="E16" s="1051"/>
      <c r="G16" s="1031" t="s">
        <v>753</v>
      </c>
      <c r="H16" s="1032"/>
      <c r="I16" s="479"/>
      <c r="J16" s="479"/>
      <c r="K16" s="450"/>
    </row>
    <row r="17" spans="1:17" ht="15" customHeight="1" x14ac:dyDescent="0.25">
      <c r="A17" s="602" t="s">
        <v>912</v>
      </c>
      <c r="B17" s="603" t="s">
        <v>913</v>
      </c>
      <c r="C17" s="1052" t="s">
        <v>914</v>
      </c>
      <c r="D17" s="1053"/>
      <c r="E17" s="604" t="s">
        <v>773</v>
      </c>
      <c r="G17" s="1021"/>
      <c r="H17" s="1020"/>
      <c r="I17" s="479"/>
      <c r="J17" s="479"/>
      <c r="K17" s="450"/>
      <c r="L17" s="450"/>
      <c r="M17" s="450"/>
      <c r="N17" s="450"/>
      <c r="Q17" s="446"/>
    </row>
    <row r="18" spans="1:17" ht="63.75" x14ac:dyDescent="0.25">
      <c r="A18" s="605" t="s">
        <v>915</v>
      </c>
      <c r="B18" s="613" t="s">
        <v>945</v>
      </c>
      <c r="C18" s="1033" t="s">
        <v>916</v>
      </c>
      <c r="D18" s="1034"/>
      <c r="E18" s="613" t="s">
        <v>946</v>
      </c>
      <c r="G18" s="1021"/>
      <c r="H18" s="1020"/>
      <c r="I18" s="479"/>
      <c r="J18" s="479"/>
      <c r="K18" s="450"/>
      <c r="L18" s="450"/>
      <c r="M18" s="450"/>
      <c r="N18" s="450"/>
      <c r="Q18" s="446"/>
    </row>
    <row r="19" spans="1:17" x14ac:dyDescent="0.25">
      <c r="A19" s="605" t="s">
        <v>917</v>
      </c>
      <c r="B19" s="605" t="s">
        <v>918</v>
      </c>
      <c r="C19" s="1038" t="s">
        <v>919</v>
      </c>
      <c r="D19" s="1039"/>
      <c r="E19" s="605" t="s">
        <v>920</v>
      </c>
      <c r="G19" s="1021"/>
      <c r="H19" s="1020"/>
      <c r="I19" s="479"/>
      <c r="J19" s="479"/>
      <c r="K19" s="450"/>
      <c r="L19" s="450"/>
      <c r="M19" s="450"/>
      <c r="N19" s="450"/>
      <c r="Q19" s="446"/>
    </row>
    <row r="20" spans="1:17" x14ac:dyDescent="0.25">
      <c r="A20" s="605" t="s">
        <v>921</v>
      </c>
      <c r="B20" s="605" t="s">
        <v>918</v>
      </c>
      <c r="C20" s="1033" t="s">
        <v>922</v>
      </c>
      <c r="D20" s="1034"/>
      <c r="E20" s="605" t="s">
        <v>920</v>
      </c>
      <c r="G20" s="1021"/>
      <c r="H20" s="1020"/>
      <c r="I20" s="479"/>
      <c r="J20" s="479"/>
      <c r="K20" s="450"/>
      <c r="L20" s="450"/>
      <c r="M20" s="450"/>
      <c r="N20" s="450"/>
      <c r="Q20" s="446"/>
    </row>
    <row r="21" spans="1:17" ht="76.5" x14ac:dyDescent="0.25">
      <c r="A21" s="605" t="s">
        <v>923</v>
      </c>
      <c r="B21" s="606" t="s">
        <v>924</v>
      </c>
      <c r="C21" s="1033" t="s">
        <v>916</v>
      </c>
      <c r="D21" s="1034"/>
      <c r="E21" s="605" t="s">
        <v>920</v>
      </c>
      <c r="G21" s="1019" t="s">
        <v>754</v>
      </c>
      <c r="H21" s="1020"/>
      <c r="I21" s="479"/>
      <c r="J21" s="479"/>
      <c r="K21" s="450"/>
      <c r="L21" s="450"/>
      <c r="M21" s="450"/>
      <c r="N21" s="450"/>
    </row>
    <row r="22" spans="1:17" ht="25.5" x14ac:dyDescent="0.25">
      <c r="A22" s="605" t="s">
        <v>925</v>
      </c>
      <c r="B22" s="605" t="s">
        <v>926</v>
      </c>
      <c r="C22" s="1033" t="s">
        <v>916</v>
      </c>
      <c r="D22" s="1034"/>
      <c r="E22" s="605" t="s">
        <v>927</v>
      </c>
      <c r="G22" s="1021"/>
      <c r="H22" s="1020"/>
      <c r="I22" s="479"/>
      <c r="J22" s="479"/>
      <c r="Q22" s="446"/>
    </row>
    <row r="23" spans="1:17" ht="25.5" x14ac:dyDescent="0.25">
      <c r="A23" s="605" t="s">
        <v>928</v>
      </c>
      <c r="B23" s="606" t="s">
        <v>929</v>
      </c>
      <c r="C23" s="1033" t="s">
        <v>930</v>
      </c>
      <c r="D23" s="1034"/>
      <c r="E23" s="605" t="s">
        <v>931</v>
      </c>
      <c r="G23" s="1021"/>
      <c r="H23" s="1020"/>
      <c r="I23" s="479"/>
      <c r="J23" s="479"/>
      <c r="K23" s="450"/>
      <c r="L23" s="450"/>
      <c r="M23" s="450"/>
      <c r="N23" s="450"/>
      <c r="Q23" s="446"/>
    </row>
    <row r="24" spans="1:17" ht="38.25" x14ac:dyDescent="0.25">
      <c r="A24" s="605" t="s">
        <v>932</v>
      </c>
      <c r="B24" s="606" t="s">
        <v>933</v>
      </c>
      <c r="C24" s="1033" t="s">
        <v>916</v>
      </c>
      <c r="D24" s="1034"/>
      <c r="E24" s="605" t="s">
        <v>934</v>
      </c>
      <c r="G24" s="1021"/>
      <c r="H24" s="1020"/>
      <c r="I24" s="479"/>
      <c r="J24" s="479"/>
      <c r="K24" s="450"/>
      <c r="L24" s="450"/>
      <c r="M24" s="450"/>
      <c r="N24" s="450"/>
      <c r="Q24" s="446"/>
    </row>
    <row r="25" spans="1:17" x14ac:dyDescent="0.25">
      <c r="A25"/>
      <c r="B25"/>
      <c r="C25"/>
      <c r="D25"/>
      <c r="E25"/>
      <c r="G25" s="1021"/>
      <c r="H25" s="1020"/>
      <c r="I25" s="479"/>
      <c r="J25" s="479"/>
      <c r="K25" s="450"/>
      <c r="L25" s="450"/>
      <c r="M25" s="450"/>
      <c r="N25" s="450"/>
      <c r="Q25" s="446"/>
    </row>
    <row r="26" spans="1:17" x14ac:dyDescent="0.25">
      <c r="A26"/>
      <c r="B26"/>
      <c r="C26"/>
      <c r="D26"/>
      <c r="E26"/>
      <c r="G26" s="1019" t="s">
        <v>755</v>
      </c>
      <c r="H26" s="1022"/>
      <c r="I26" s="450"/>
      <c r="J26" s="450"/>
      <c r="K26" s="450"/>
      <c r="L26" s="450"/>
      <c r="M26" s="450"/>
      <c r="N26" s="450"/>
      <c r="Q26" s="446"/>
    </row>
    <row r="27" spans="1:17" x14ac:dyDescent="0.25">
      <c r="A27"/>
      <c r="B27"/>
      <c r="C27"/>
      <c r="D27"/>
      <c r="E27"/>
      <c r="G27" s="1019"/>
      <c r="H27" s="1022"/>
      <c r="I27" s="450"/>
      <c r="J27" s="450"/>
      <c r="K27" s="450"/>
      <c r="L27" s="450"/>
      <c r="M27" s="450"/>
      <c r="N27" s="450"/>
    </row>
    <row r="28" spans="1:17" ht="53.25" customHeight="1" x14ac:dyDescent="0.25">
      <c r="A28"/>
      <c r="B28"/>
      <c r="C28"/>
      <c r="D28"/>
      <c r="E28"/>
      <c r="G28" s="1019"/>
      <c r="H28" s="1022"/>
    </row>
    <row r="29" spans="1:17" ht="97.5" customHeight="1" thickBot="1" x14ac:dyDescent="0.3">
      <c r="A29"/>
      <c r="B29"/>
      <c r="C29"/>
      <c r="D29"/>
      <c r="E29"/>
      <c r="G29" s="1027" t="s">
        <v>756</v>
      </c>
      <c r="H29" s="1028"/>
    </row>
    <row r="30" spans="1:17" x14ac:dyDescent="0.25">
      <c r="A30"/>
      <c r="B30"/>
      <c r="C30"/>
      <c r="D30"/>
      <c r="E30"/>
    </row>
    <row r="31" spans="1:17" x14ac:dyDescent="0.25">
      <c r="A31"/>
      <c r="B31"/>
      <c r="C31"/>
      <c r="D31"/>
      <c r="E31"/>
    </row>
    <row r="32" spans="1:17" x14ac:dyDescent="0.25">
      <c r="A32"/>
      <c r="B32"/>
      <c r="C32"/>
      <c r="D32"/>
      <c r="E32"/>
    </row>
    <row r="33" spans="1:5" x14ac:dyDescent="0.25">
      <c r="A33"/>
      <c r="B33"/>
      <c r="C33"/>
      <c r="D33"/>
      <c r="E33"/>
    </row>
    <row r="34" spans="1:5" x14ac:dyDescent="0.25">
      <c r="A34"/>
      <c r="B34"/>
      <c r="C34"/>
      <c r="D34"/>
      <c r="E34"/>
    </row>
    <row r="35" spans="1:5" x14ac:dyDescent="0.25">
      <c r="A35"/>
      <c r="B35"/>
      <c r="C35"/>
      <c r="D35"/>
      <c r="E35"/>
    </row>
  </sheetData>
  <mergeCells count="45">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 ref="G26:H28"/>
    <mergeCell ref="G29:H29"/>
    <mergeCell ref="G21:H25"/>
    <mergeCell ref="G15:H15"/>
    <mergeCell ref="G16:H20"/>
    <mergeCell ref="G11:H13"/>
    <mergeCell ref="I9:J9"/>
    <mergeCell ref="M9:N9"/>
    <mergeCell ref="I10:J10"/>
    <mergeCell ref="M10:N10"/>
    <mergeCell ref="G7:H8"/>
    <mergeCell ref="G9:H10"/>
    <mergeCell ref="G5:H6"/>
    <mergeCell ref="I5:J5"/>
    <mergeCell ref="M5:N5"/>
    <mergeCell ref="I6:J8"/>
    <mergeCell ref="M6:N8"/>
    <mergeCell ref="G2:H4"/>
    <mergeCell ref="I2:J2"/>
    <mergeCell ref="M2:N2"/>
    <mergeCell ref="I3:J4"/>
    <mergeCell ref="M3:N4"/>
    <mergeCell ref="C11:D11"/>
    <mergeCell ref="C12:D12"/>
    <mergeCell ref="C6:D6"/>
    <mergeCell ref="C7:D7"/>
    <mergeCell ref="C8:D8"/>
    <mergeCell ref="C9:D9"/>
    <mergeCell ref="C10:D10"/>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lpstr>'Prepay 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2026-10-15T15:21:05Z</cp:lastPrinted>
  <dcterms:created xsi:type="dcterms:W3CDTF">2025-07-31T15:53:00Z</dcterms:created>
  <dcterms:modified xsi:type="dcterms:W3CDTF">2026-10-15T15:21:34Z</dcterms:modified>
  <cp:category/>
  <cp:contentStatus/>
</cp:coreProperties>
</file>